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14" activeTab="19"/>
  </bookViews>
  <sheets>
    <sheet name="Лист18" sheetId="1" r:id="rId1"/>
    <sheet name="Люб. присед б.э." sheetId="2" r:id="rId2"/>
    <sheet name="ПРО тяга б.э." sheetId="3" r:id="rId3"/>
    <sheet name="Люб. тяга б.э." sheetId="4" r:id="rId4"/>
    <sheet name="ПРО жим софт экип. 3сл." sheetId="5" r:id="rId5"/>
    <sheet name="ПРО жим софт экип." sheetId="6" r:id="rId6"/>
    <sheet name="Люб. жим софт экип." sheetId="7" r:id="rId7"/>
    <sheet name="ПРО жим б.э." sheetId="8" r:id="rId8"/>
    <sheet name="Люб. жим б.э." sheetId="9" r:id="rId9"/>
    <sheet name="ПРО ПЛ. б.э." sheetId="10" r:id="rId10"/>
    <sheet name="Люб. ПЛ. б.э." sheetId="11" r:id="rId11"/>
    <sheet name="Проф. народный жим 1 вес" sheetId="12" r:id="rId12"/>
    <sheet name="Люб. народный жим 1_2 вес" sheetId="13" r:id="rId13"/>
    <sheet name="Люб. народный жим 1 вес" sheetId="14" r:id="rId14"/>
    <sheet name="Пауэрспорт Любители" sheetId="15" r:id="rId15"/>
    <sheet name="Бицепс Профессионалы" sheetId="16" r:id="rId16"/>
    <sheet name="Бицепс Любители" sheetId="17" r:id="rId17"/>
    <sheet name="Жим стоя Любители" sheetId="18" r:id="rId18"/>
    <sheet name="РЖ любители 55 кг." sheetId="19" r:id="rId19"/>
    <sheet name="РЖ любители 35 кг." sheetId="20" r:id="rId20"/>
  </sheets>
  <definedNames/>
  <calcPr fullCalcOnLoad="1" refMode="R1C1"/>
</workbook>
</file>

<file path=xl/sharedStrings.xml><?xml version="1.0" encoding="utf-8"?>
<sst xmlns="http://schemas.openxmlformats.org/spreadsheetml/2006/main" count="2986" uniqueCount="849">
  <si>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</si>
  <si>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</si>
  <si>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</si>
  <si>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</si>
  <si>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</si>
  <si>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</si>
  <si>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</si>
  <si>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</si>
  <si>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</si>
  <si>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</si>
  <si>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</si>
  <si>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Собственный 
Вес</t>
  </si>
  <si>
    <t>Город/Область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</si>
  <si>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</si>
  <si>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</si>
  <si>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</si>
  <si>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</si>
  <si>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</si>
  <si>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</si>
  <si>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Областной турнир по силовым видам спорта Siberian Force-3
Любители пауэрлифтинг без экипировки
Кемерово/Кемеровская область декабря 2018 г.</t>
  </si>
  <si>
    <t>Shv/Mel</t>
  </si>
  <si>
    <t>Приседание</t>
  </si>
  <si>
    <t>Жим лёжа</t>
  </si>
  <si>
    <t>Становая тяга</t>
  </si>
  <si>
    <t>ВЕСОВАЯ КАТЕГОРИЯ   56</t>
  </si>
  <si>
    <t>Николаева Елена</t>
  </si>
  <si>
    <t>1. Николаева Елена</t>
  </si>
  <si>
    <t>Открытая (28.04.1987)/31</t>
  </si>
  <si>
    <t>54,20</t>
  </si>
  <si>
    <t xml:space="preserve">Dan Titan </t>
  </si>
  <si>
    <t xml:space="preserve">Междуреченск/Кемеровская область </t>
  </si>
  <si>
    <t>85,0</t>
  </si>
  <si>
    <t>95,0</t>
  </si>
  <si>
    <t>100,0</t>
  </si>
  <si>
    <t>35,0</t>
  </si>
  <si>
    <t>40,0</t>
  </si>
  <si>
    <t>42,5</t>
  </si>
  <si>
    <t>90,0</t>
  </si>
  <si>
    <t>105,0</t>
  </si>
  <si>
    <t xml:space="preserve">Панников Д </t>
  </si>
  <si>
    <t>ВЕСОВАЯ КАТЕГОРИЯ   75</t>
  </si>
  <si>
    <t>Зиганшина Елена</t>
  </si>
  <si>
    <t>1. Зиганшина Елена</t>
  </si>
  <si>
    <t>Открытая (14.05.1981)/37</t>
  </si>
  <si>
    <t>74,80</t>
  </si>
  <si>
    <t>125,0</t>
  </si>
  <si>
    <t>130,0</t>
  </si>
  <si>
    <t>135,0</t>
  </si>
  <si>
    <t>65,0</t>
  </si>
  <si>
    <t>70,0</t>
  </si>
  <si>
    <t>72,5</t>
  </si>
  <si>
    <t>120,0</t>
  </si>
  <si>
    <t>ВЕСОВАЯ КАТЕГОРИЯ   52</t>
  </si>
  <si>
    <t>Богер Иван</t>
  </si>
  <si>
    <t>1. Богер Иван</t>
  </si>
  <si>
    <t>Юноши 0-13 (13.03.2006)/12</t>
  </si>
  <si>
    <t>44,40</t>
  </si>
  <si>
    <t xml:space="preserve">Вайнс </t>
  </si>
  <si>
    <t xml:space="preserve">Кемерово/Кемеровская область </t>
  </si>
  <si>
    <t>50,0</t>
  </si>
  <si>
    <t>55,0</t>
  </si>
  <si>
    <t>37,5</t>
  </si>
  <si>
    <t>75,0</t>
  </si>
  <si>
    <t xml:space="preserve">Хоронжак И </t>
  </si>
  <si>
    <t>Тусалимов Андрей</t>
  </si>
  <si>
    <t>1. Тусалимов Андрей</t>
  </si>
  <si>
    <t>Открытая (10.05.1992)/26</t>
  </si>
  <si>
    <t>55,00</t>
  </si>
  <si>
    <t xml:space="preserve">Железное Братство </t>
  </si>
  <si>
    <t>110,0</t>
  </si>
  <si>
    <t>150,0</t>
  </si>
  <si>
    <t>160,0</t>
  </si>
  <si>
    <t xml:space="preserve">Ефременко В </t>
  </si>
  <si>
    <t>ВЕСОВАЯ КАТЕГОРИЯ   67.5</t>
  </si>
  <si>
    <t>Воложанин Максим</t>
  </si>
  <si>
    <t>1. Воложанин Максим</t>
  </si>
  <si>
    <t>Юниоры 20 - 23 (12.03.1996)/22</t>
  </si>
  <si>
    <t>66,00</t>
  </si>
  <si>
    <t>77,5</t>
  </si>
  <si>
    <t>82,5</t>
  </si>
  <si>
    <t>Зеленцов Евгений</t>
  </si>
  <si>
    <t>1. Зеленцов Евгений</t>
  </si>
  <si>
    <t>Открытая (25.10.1997)/21</t>
  </si>
  <si>
    <t>65,70</t>
  </si>
  <si>
    <t xml:space="preserve">лично </t>
  </si>
  <si>
    <t xml:space="preserve">Осинники/Кемеровская область </t>
  </si>
  <si>
    <t>170,0</t>
  </si>
  <si>
    <t xml:space="preserve"> </t>
  </si>
  <si>
    <t>Борзых Иван</t>
  </si>
  <si>
    <t>1. Борзых Иван</t>
  </si>
  <si>
    <t>Юноши 16 - 17 (06.08.2001)/17</t>
  </si>
  <si>
    <t>75,00</t>
  </si>
  <si>
    <t xml:space="preserve">Яшкино/Кемеровская область </t>
  </si>
  <si>
    <t>140,0</t>
  </si>
  <si>
    <t>107,5</t>
  </si>
  <si>
    <t>112,5</t>
  </si>
  <si>
    <t>180,0</t>
  </si>
  <si>
    <t>190,0</t>
  </si>
  <si>
    <t>200,0</t>
  </si>
  <si>
    <t xml:space="preserve">Романович Д. </t>
  </si>
  <si>
    <t>Гордиенко Александр</t>
  </si>
  <si>
    <t>2. Гордиенко Александр</t>
  </si>
  <si>
    <t>Юноши 16 - 17 (26.03.2001)/17</t>
  </si>
  <si>
    <t>74,00</t>
  </si>
  <si>
    <t xml:space="preserve">Веселые ребята </t>
  </si>
  <si>
    <t xml:space="preserve">Анжеро-Судженск/Кемеровская область </t>
  </si>
  <si>
    <t>80,0</t>
  </si>
  <si>
    <t>185,0</t>
  </si>
  <si>
    <t xml:space="preserve">Богатчук П </t>
  </si>
  <si>
    <t>Наговицын Дмитрий</t>
  </si>
  <si>
    <t>-. Наговицын Дмитрий</t>
  </si>
  <si>
    <t>Юниоры 20 - 23 (20.09.1995)/23</t>
  </si>
  <si>
    <t xml:space="preserve">Новосибирск/Новосибирская область </t>
  </si>
  <si>
    <t>117,5</t>
  </si>
  <si>
    <t>-. Дьяконов Александр</t>
  </si>
  <si>
    <t>Открытая (24.07.1997)/21</t>
  </si>
  <si>
    <t>73,90</t>
  </si>
  <si>
    <t>115,0</t>
  </si>
  <si>
    <t>ВЕСОВАЯ КАТЕГОРИЯ   82.5</t>
  </si>
  <si>
    <t>Глебов Андрей</t>
  </si>
  <si>
    <t>1. Глебов Андрей</t>
  </si>
  <si>
    <t>Юноши 16 - 17 (13.08.2002)/16</t>
  </si>
  <si>
    <t>82,50</t>
  </si>
  <si>
    <t>97,5</t>
  </si>
  <si>
    <t>210,0</t>
  </si>
  <si>
    <t>217,5</t>
  </si>
  <si>
    <t>Кононов Никита</t>
  </si>
  <si>
    <t>2. Кононов Никита</t>
  </si>
  <si>
    <t>Юноши 16 - 17 (11.11.2002)/16</t>
  </si>
  <si>
    <t>80,00</t>
  </si>
  <si>
    <t>172,5</t>
  </si>
  <si>
    <t xml:space="preserve">Зевякин И </t>
  </si>
  <si>
    <t>Гончаров Павел</t>
  </si>
  <si>
    <t>1. Гончаров Павел</t>
  </si>
  <si>
    <t>Юниоры 20 - 23 (18.07.1995)/23</t>
  </si>
  <si>
    <t>81,10</t>
  </si>
  <si>
    <t>165,0</t>
  </si>
  <si>
    <t>212,5</t>
  </si>
  <si>
    <t>225,0</t>
  </si>
  <si>
    <t xml:space="preserve">Малашкин В </t>
  </si>
  <si>
    <t>ВЕСОВАЯ КАТЕГОРИЯ   90</t>
  </si>
  <si>
    <t>Бузениус Иван</t>
  </si>
  <si>
    <t>1. Бузениус Иван</t>
  </si>
  <si>
    <t>Юниоры 20 - 23 (04.04.1997)/21</t>
  </si>
  <si>
    <t>89,50</t>
  </si>
  <si>
    <t xml:space="preserve">Томск/Томская область </t>
  </si>
  <si>
    <t>145,0</t>
  </si>
  <si>
    <t>152,5</t>
  </si>
  <si>
    <t>122,5</t>
  </si>
  <si>
    <t>195,0</t>
  </si>
  <si>
    <t xml:space="preserve">Степанов И </t>
  </si>
  <si>
    <t>Колганов Эдуард</t>
  </si>
  <si>
    <t>1. Колганов Эдуард</t>
  </si>
  <si>
    <t>Открытая (12.12.1987)/31</t>
  </si>
  <si>
    <t>88,60</t>
  </si>
  <si>
    <t>220,0</t>
  </si>
  <si>
    <t>Перегон Егор</t>
  </si>
  <si>
    <t>2. Перегон Егор</t>
  </si>
  <si>
    <t>Открытая (12.03.1991)/27</t>
  </si>
  <si>
    <t>88,90</t>
  </si>
  <si>
    <t>142,5</t>
  </si>
  <si>
    <t>Курининов Владимир</t>
  </si>
  <si>
    <t>1. Курининов Владимир</t>
  </si>
  <si>
    <t>Мастера 50 - 54 (25.12.1965)/52</t>
  </si>
  <si>
    <t>85,70</t>
  </si>
  <si>
    <t xml:space="preserve">Новокузнецк/Кемеровская область </t>
  </si>
  <si>
    <t xml:space="preserve">Меньшинин А.В. </t>
  </si>
  <si>
    <t>ВЕСОВАЯ КАТЕГОРИЯ   100</t>
  </si>
  <si>
    <t>Журжий Даниил</t>
  </si>
  <si>
    <t>1. Журжий Даниил</t>
  </si>
  <si>
    <t>Юноши 18 - 19 (28.12.1999)/18</t>
  </si>
  <si>
    <t>97,00</t>
  </si>
  <si>
    <t>155,0</t>
  </si>
  <si>
    <t>Черданцев Антон</t>
  </si>
  <si>
    <t>1. Черданцев Антон</t>
  </si>
  <si>
    <t>Открытая (28.12.1982)/35</t>
  </si>
  <si>
    <t>96,30</t>
  </si>
  <si>
    <t>182,5</t>
  </si>
  <si>
    <t>192,5</t>
  </si>
  <si>
    <t>132,5</t>
  </si>
  <si>
    <t>235,0</t>
  </si>
  <si>
    <t>250,0</t>
  </si>
  <si>
    <t>ВЕСОВАЯ КАТЕГОРИЯ   110</t>
  </si>
  <si>
    <t>Кириченко Денис</t>
  </si>
  <si>
    <t>1. Кириченко Денис</t>
  </si>
  <si>
    <t>Открытая (01.08.1980)/38</t>
  </si>
  <si>
    <t>106,70</t>
  </si>
  <si>
    <t>215,0</t>
  </si>
  <si>
    <t>230,0</t>
  </si>
  <si>
    <t>Портнов Юрий</t>
  </si>
  <si>
    <t>2. Портнов Юрий</t>
  </si>
  <si>
    <t>Открытая (22.12.1983)/35</t>
  </si>
  <si>
    <t>110,00</t>
  </si>
  <si>
    <t>ВЕСОВАЯ КАТЕГОРИЯ   125</t>
  </si>
  <si>
    <t>Манский Валентин</t>
  </si>
  <si>
    <t>1. Манский Валентин</t>
  </si>
  <si>
    <t>Открытая (10.12.1981)/37</t>
  </si>
  <si>
    <t>111,70</t>
  </si>
  <si>
    <t>205,0</t>
  </si>
  <si>
    <t>Волков Иван</t>
  </si>
  <si>
    <t>2. Волков Иван</t>
  </si>
  <si>
    <t>Открытая (12.03.1988)/30</t>
  </si>
  <si>
    <t>113,20</t>
  </si>
  <si>
    <t>175,0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</si>
  <si>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</si>
  <si>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</si>
  <si>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</si>
  <si>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</si>
  <si>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</si>
  <si>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</si>
  <si>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</si>
  <si>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335,0</t>
  </si>
  <si>
    <t>242,3222</t>
  </si>
  <si>
    <t>56,0</t>
  </si>
  <si>
    <t>240,0</t>
  </si>
  <si>
    <t>224,8560</t>
  </si>
  <si>
    <t xml:space="preserve">Мужчины </t>
  </si>
  <si>
    <t xml:space="preserve">Юноши </t>
  </si>
  <si>
    <t xml:space="preserve">Юноши 16 - 17 </t>
  </si>
  <si>
    <t>460,0</t>
  </si>
  <si>
    <t>328,9814</t>
  </si>
  <si>
    <t>465,0</t>
  </si>
  <si>
    <t>325,4112</t>
  </si>
  <si>
    <t>442,5</t>
  </si>
  <si>
    <t>317,5645</t>
  </si>
  <si>
    <t>420,0</t>
  </si>
  <si>
    <t>304,6378</t>
  </si>
  <si>
    <t xml:space="preserve">Юноши 18 - 19 </t>
  </si>
  <si>
    <t>497,5</t>
  </si>
  <si>
    <t>296,3180</t>
  </si>
  <si>
    <t xml:space="preserve">Юноши 0-13 </t>
  </si>
  <si>
    <t>52,0</t>
  </si>
  <si>
    <t>233,9202</t>
  </si>
  <si>
    <t xml:space="preserve">Юниоры </t>
  </si>
  <si>
    <t xml:space="preserve">Юниоры 20 - 23 </t>
  </si>
  <si>
    <t>585,0</t>
  </si>
  <si>
    <t>366,6780</t>
  </si>
  <si>
    <t>482,5</t>
  </si>
  <si>
    <t>289,0397</t>
  </si>
  <si>
    <t>67,5</t>
  </si>
  <si>
    <t>327,5</t>
  </si>
  <si>
    <t>245,0381</t>
  </si>
  <si>
    <t>395,0</t>
  </si>
  <si>
    <t>352,4980</t>
  </si>
  <si>
    <t>550,0</t>
  </si>
  <si>
    <t>325,0500</t>
  </si>
  <si>
    <t>542,5</t>
  </si>
  <si>
    <t>319,9122</t>
  </si>
  <si>
    <t>557,5</t>
  </si>
  <si>
    <t>314,3742</t>
  </si>
  <si>
    <t>565,0</t>
  </si>
  <si>
    <t>302,0490</t>
  </si>
  <si>
    <t>297,5500</t>
  </si>
  <si>
    <t>390,0</t>
  </si>
  <si>
    <t>290,1210</t>
  </si>
  <si>
    <t>540,0</t>
  </si>
  <si>
    <t>289,7100</t>
  </si>
  <si>
    <t>530,0</t>
  </si>
  <si>
    <t>282,4900</t>
  </si>
  <si>
    <t xml:space="preserve">Мастера </t>
  </si>
  <si>
    <t xml:space="preserve">Мастера 50 - 54 </t>
  </si>
  <si>
    <t>450,0</t>
  </si>
  <si>
    <t>328,3886</t>
  </si>
  <si>
    <t>Областной турнир по силовым видам спорта Siberian Force-3
ПРО пауэрлифтинг без экипировки
Кемерово/Кемеровская область декабря 2018 г.</t>
  </si>
  <si>
    <t>ВЕСОВАЯ КАТЕГОРИЯ   60</t>
  </si>
  <si>
    <t>Дивакова Ксения</t>
  </si>
  <si>
    <t>1. Дивакова Ксения</t>
  </si>
  <si>
    <t>Открытая (06.11.1993)/25</t>
  </si>
  <si>
    <t>58,60</t>
  </si>
  <si>
    <t>30,0</t>
  </si>
  <si>
    <t>32,5</t>
  </si>
  <si>
    <t xml:space="preserve">Черняков Т </t>
  </si>
  <si>
    <t>Хашимова Алина</t>
  </si>
  <si>
    <t>1. Хашимова Алина</t>
  </si>
  <si>
    <t>Юноши 16 - 17 (28.05.2002)/16</t>
  </si>
  <si>
    <t>47,20</t>
  </si>
  <si>
    <t>60,0</t>
  </si>
  <si>
    <t>Попов Алексей</t>
  </si>
  <si>
    <t>1. Попов Алексей</t>
  </si>
  <si>
    <t>Открытая (24.08.1993)/25</t>
  </si>
  <si>
    <t>67,50</t>
  </si>
  <si>
    <t xml:space="preserve">Горно-Алтайск/Алтай </t>
  </si>
  <si>
    <t xml:space="preserve">Федоров В. </t>
  </si>
  <si>
    <t>Кохась Петр</t>
  </si>
  <si>
    <t>1. Кохась Петр</t>
  </si>
  <si>
    <t>Открытая (18.04.1990)/28</t>
  </si>
  <si>
    <t xml:space="preserve">Полысаево/Кемеровская область </t>
  </si>
  <si>
    <t>Павельев Егор</t>
  </si>
  <si>
    <t>1. Павельев Егор</t>
  </si>
  <si>
    <t>Открытая (09.09.1991)/27</t>
  </si>
  <si>
    <t>89,80</t>
  </si>
  <si>
    <t>252,5</t>
  </si>
  <si>
    <t>162,5</t>
  </si>
  <si>
    <t>247,5</t>
  </si>
  <si>
    <t>Толстушенко Павел</t>
  </si>
  <si>
    <t>2. Толстушенко Павел</t>
  </si>
  <si>
    <t>Открытая (19.08.1981)/37</t>
  </si>
  <si>
    <t>86,10</t>
  </si>
  <si>
    <t xml:space="preserve">Белово/Кемеровская область </t>
  </si>
  <si>
    <t>265,0</t>
  </si>
  <si>
    <t>Коваль Владислав</t>
  </si>
  <si>
    <t>1. Коваль Владислав</t>
  </si>
  <si>
    <t>Открытая (17.05.1994)/24</t>
  </si>
  <si>
    <t>98,80</t>
  </si>
  <si>
    <t>147,5</t>
  </si>
  <si>
    <t>Багаев Александр</t>
  </si>
  <si>
    <t>1. Багаев Александр</t>
  </si>
  <si>
    <t>Открытая (04.04.1986)/32</t>
  </si>
  <si>
    <t>101,60</t>
  </si>
  <si>
    <t>Зевякин Иван</t>
  </si>
  <si>
    <t>1. Зевякин Иван</t>
  </si>
  <si>
    <t>Открытая (28.06.1988)/30</t>
  </si>
  <si>
    <t>116,70</t>
  </si>
  <si>
    <t>300,0</t>
  </si>
  <si>
    <t>320,0</t>
  </si>
  <si>
    <t>310,0</t>
  </si>
  <si>
    <t>355,0</t>
  </si>
  <si>
    <t>ВЕСОВАЯ КАТЕГОРИЯ   140</t>
  </si>
  <si>
    <t>Голубев Евгений</t>
  </si>
  <si>
    <t>1. Голубев Евгений</t>
  </si>
  <si>
    <t>Мастера 45 - 49 (17.12.1969)/49</t>
  </si>
  <si>
    <t>132,00</t>
  </si>
  <si>
    <t xml:space="preserve">Красноярск/Красноярский край </t>
  </si>
  <si>
    <t>202,5</t>
  </si>
  <si>
    <t>177,8254</t>
  </si>
  <si>
    <t>220,3720</t>
  </si>
  <si>
    <t>880,0</t>
  </si>
  <si>
    <t>466,3120</t>
  </si>
  <si>
    <t>632,5</t>
  </si>
  <si>
    <t>370,7082</t>
  </si>
  <si>
    <t>610,0</t>
  </si>
  <si>
    <t>367,0980</t>
  </si>
  <si>
    <t>570,0</t>
  </si>
  <si>
    <t>353,0010</t>
  </si>
  <si>
    <t>595,0</t>
  </si>
  <si>
    <t>327,4880</t>
  </si>
  <si>
    <t>440,0</t>
  </si>
  <si>
    <t>319,3520</t>
  </si>
  <si>
    <t>259,0050</t>
  </si>
  <si>
    <t xml:space="preserve">Мастера 45 - 49 </t>
  </si>
  <si>
    <t>322,5279</t>
  </si>
  <si>
    <t>Областной турнир по силовым видам спорта Siberian Force-3
Любители жим лежа без экипировки
Кемерово/Кемеровская область декабря 2018 г.</t>
  </si>
  <si>
    <t>ВЕСОВАЯ КАТЕГОРИЯ   48</t>
  </si>
  <si>
    <t>Черныш Ирина</t>
  </si>
  <si>
    <t>1. Черныш Ирина</t>
  </si>
  <si>
    <t>Девушки 0-13 (15.04.2005)/13</t>
  </si>
  <si>
    <t>46,00</t>
  </si>
  <si>
    <t>Рыбина Мария</t>
  </si>
  <si>
    <t>1. Рыбина Мария</t>
  </si>
  <si>
    <t>Открытая (11.10.1994)/24</t>
  </si>
  <si>
    <t>50,00</t>
  </si>
  <si>
    <t xml:space="preserve">Орёл/Орловская область </t>
  </si>
  <si>
    <t>47,5</t>
  </si>
  <si>
    <t>52,5</t>
  </si>
  <si>
    <t>Герасименко Алена</t>
  </si>
  <si>
    <t>1. Герасименко Алена</t>
  </si>
  <si>
    <t>Открытая (01.08.1986)/32</t>
  </si>
  <si>
    <t>56,00</t>
  </si>
  <si>
    <t xml:space="preserve">Успех </t>
  </si>
  <si>
    <t>45,0</t>
  </si>
  <si>
    <t>Соколова Оксана</t>
  </si>
  <si>
    <t>1. Соколова Оксана</t>
  </si>
  <si>
    <t>Открытая (21.06.1985)/33</t>
  </si>
  <si>
    <t>59,80</t>
  </si>
  <si>
    <t xml:space="preserve">Кочубей Р </t>
  </si>
  <si>
    <t>Сульянова Марина</t>
  </si>
  <si>
    <t>2. Сульянова Марина</t>
  </si>
  <si>
    <t>Открытая (14.01.1988)/30</t>
  </si>
  <si>
    <t>59,00</t>
  </si>
  <si>
    <t>Барабанова Ирина</t>
  </si>
  <si>
    <t>1. Барабанова Ирина</t>
  </si>
  <si>
    <t>Открытая (17.05.1993)/25</t>
  </si>
  <si>
    <t>61,00</t>
  </si>
  <si>
    <t>Радченко Ольга</t>
  </si>
  <si>
    <t>1. Радченко Ольга</t>
  </si>
  <si>
    <t>Мастера 40 - 44 (31.07.1978)/40</t>
  </si>
  <si>
    <t>65,10</t>
  </si>
  <si>
    <t>Пащенко Никита</t>
  </si>
  <si>
    <t>1. Пащенко Никита</t>
  </si>
  <si>
    <t>Юноши 0-13 (05.10.2005)/13</t>
  </si>
  <si>
    <t>37,00</t>
  </si>
  <si>
    <t xml:space="preserve">Зубан Я. </t>
  </si>
  <si>
    <t>Трубченко Тимофей</t>
  </si>
  <si>
    <t>2. Трубченко Тимофей</t>
  </si>
  <si>
    <t>Юноши 0-13 (30.03.2008)/10</t>
  </si>
  <si>
    <t>44,00</t>
  </si>
  <si>
    <t>Бельвенцев Андрей</t>
  </si>
  <si>
    <t>1. Бельвенцев Андрей</t>
  </si>
  <si>
    <t>Юноши 14-15 (15.04.2004)/14</t>
  </si>
  <si>
    <t>Масленников Евгений</t>
  </si>
  <si>
    <t>1. Масленников Евгений</t>
  </si>
  <si>
    <t>Юноши 0-13 (17.06.2005)/13</t>
  </si>
  <si>
    <t>Сиков Роман</t>
  </si>
  <si>
    <t>1. Сиков Роман</t>
  </si>
  <si>
    <t>Юноши 14-15 (04.10.2004)/14</t>
  </si>
  <si>
    <t>63,30</t>
  </si>
  <si>
    <t>Паньков Юрий</t>
  </si>
  <si>
    <t>1. Паньков Юрий</t>
  </si>
  <si>
    <t>Открытая (23.07.1987)/31</t>
  </si>
  <si>
    <t>65,00</t>
  </si>
  <si>
    <t>Акулинчев Дмитрий</t>
  </si>
  <si>
    <t>2. Акулинчев Дмитрий</t>
  </si>
  <si>
    <t>Открытая (23.05.1992)/26</t>
  </si>
  <si>
    <t>Волощук Александр</t>
  </si>
  <si>
    <t>1. Волощук Александр</t>
  </si>
  <si>
    <t>Юноши 16 - 17 (03.06.2001)/17</t>
  </si>
  <si>
    <t>70,50</t>
  </si>
  <si>
    <t>Ковалев Кирилл</t>
  </si>
  <si>
    <t>1. Ковалев Кирилл</t>
  </si>
  <si>
    <t>Юноши 18 - 19 (18.05.1999)/19</t>
  </si>
  <si>
    <t xml:space="preserve">Прокопьевск/Кемеровская область </t>
  </si>
  <si>
    <t>1. Наговицын Дмитрий</t>
  </si>
  <si>
    <t>Артемов Дмитрий</t>
  </si>
  <si>
    <t>1. Артемов Дмитрий</t>
  </si>
  <si>
    <t>Открытая (14.10.1975)/43</t>
  </si>
  <si>
    <t>137,5</t>
  </si>
  <si>
    <t>Патрушев Сергей</t>
  </si>
  <si>
    <t>2. Патрушев Сергей</t>
  </si>
  <si>
    <t>Открытая (02.11.1993)/25</t>
  </si>
  <si>
    <t>74,30</t>
  </si>
  <si>
    <t>102,5</t>
  </si>
  <si>
    <t>Мастера 40 - 44 (14.10.1975)/43</t>
  </si>
  <si>
    <t>Сотников Максим</t>
  </si>
  <si>
    <t>1. Сотников Максим</t>
  </si>
  <si>
    <t>Юниоры 20 - 23 (09.07.1997)/21</t>
  </si>
  <si>
    <t>Дробышев Юрий</t>
  </si>
  <si>
    <t>1. Дробышев Юрий</t>
  </si>
  <si>
    <t>Открытая (15.12.1994)/24</t>
  </si>
  <si>
    <t>77,50</t>
  </si>
  <si>
    <t>Осипенко Святослав</t>
  </si>
  <si>
    <t>1. Осипенко Святослав</t>
  </si>
  <si>
    <t>Юниоры 20 - 23 (05.05.1998)/20</t>
  </si>
  <si>
    <t>86,80</t>
  </si>
  <si>
    <t>Садовщиков Сергей</t>
  </si>
  <si>
    <t>1. Садовщиков Сергей</t>
  </si>
  <si>
    <t>Открытая (29.04.1992)/26</t>
  </si>
  <si>
    <t>87,80</t>
  </si>
  <si>
    <t>Туманов Никита</t>
  </si>
  <si>
    <t>2. Туманов Никита</t>
  </si>
  <si>
    <t>Открытая (10.07.1984)/34</t>
  </si>
  <si>
    <t>88,00</t>
  </si>
  <si>
    <t xml:space="preserve">Ленинск-Кузнецкий/Кемеровская область </t>
  </si>
  <si>
    <t>Солошенков Александр</t>
  </si>
  <si>
    <t>3. Солошенков Александр</t>
  </si>
  <si>
    <t>Открытая (07.07.1986)/32</t>
  </si>
  <si>
    <t>127,5</t>
  </si>
  <si>
    <t xml:space="preserve">Устяхин </t>
  </si>
  <si>
    <t>Открытая (14.11.1994)/24</t>
  </si>
  <si>
    <t>Иванов Алексей</t>
  </si>
  <si>
    <t>1. Иванов Алексей</t>
  </si>
  <si>
    <t>Открытая (07.10.1984)/34</t>
  </si>
  <si>
    <t>99,80</t>
  </si>
  <si>
    <t>Натаров Дмитрий</t>
  </si>
  <si>
    <t>2. Натаров Дмитрий</t>
  </si>
  <si>
    <t>Открытая (22.05.1992)/26</t>
  </si>
  <si>
    <t xml:space="preserve">Квитко Д.Ю. </t>
  </si>
  <si>
    <t>Григорьев Петр</t>
  </si>
  <si>
    <t>3. Григорьев Петр</t>
  </si>
  <si>
    <t>Открытая (22.11.1984)/34</t>
  </si>
  <si>
    <t>100,00</t>
  </si>
  <si>
    <t>167,5</t>
  </si>
  <si>
    <t>Баранов Владимир</t>
  </si>
  <si>
    <t>4. Баранов Владимир</t>
  </si>
  <si>
    <t>Открытая (21.06.1984)/34</t>
  </si>
  <si>
    <t>98,40</t>
  </si>
  <si>
    <t>Абдулин Ринат</t>
  </si>
  <si>
    <t>5. Абдулин Ринат</t>
  </si>
  <si>
    <t>Открытая (01.01.1982)/36</t>
  </si>
  <si>
    <t>91,30</t>
  </si>
  <si>
    <t>Пунгин Сергей</t>
  </si>
  <si>
    <t>6. Пунгин Сергей</t>
  </si>
  <si>
    <t>Открытая (05.09.1984)/34</t>
  </si>
  <si>
    <t>99,20</t>
  </si>
  <si>
    <t>Черныш Михаил</t>
  </si>
  <si>
    <t>7. Черныш Михаил</t>
  </si>
  <si>
    <t>Открытая (20.01.1987)/31</t>
  </si>
  <si>
    <t>Воробьев Алексей</t>
  </si>
  <si>
    <t>1. Воробьев Алексей</t>
  </si>
  <si>
    <t>Мастера 40 - 44 (18.04.1975)/43</t>
  </si>
  <si>
    <t>Степанов Игорь</t>
  </si>
  <si>
    <t>1. Степанов Игорь</t>
  </si>
  <si>
    <t>Открытая (09.04.1989)/29</t>
  </si>
  <si>
    <t>109,50</t>
  </si>
  <si>
    <t>Казакевич Сергей</t>
  </si>
  <si>
    <t>2. Казакевич Сергей</t>
  </si>
  <si>
    <t>Открытая (09.09.1988)/30</t>
  </si>
  <si>
    <t>109,00</t>
  </si>
  <si>
    <t>1. Волков Иван</t>
  </si>
  <si>
    <t>113,00</t>
  </si>
  <si>
    <t xml:space="preserve">Девушки </t>
  </si>
  <si>
    <t>48,0</t>
  </si>
  <si>
    <t>42,7872</t>
  </si>
  <si>
    <t>52,5420</t>
  </si>
  <si>
    <t>50,9460</t>
  </si>
  <si>
    <t>41,0580</t>
  </si>
  <si>
    <t>38,8530</t>
  </si>
  <si>
    <t>34,9260</t>
  </si>
  <si>
    <t xml:space="preserve">Мастера 40 - 44 </t>
  </si>
  <si>
    <t>40,1825</t>
  </si>
  <si>
    <t>89,8404</t>
  </si>
  <si>
    <t xml:space="preserve">Юноши 14-15 </t>
  </si>
  <si>
    <t>66,3487</t>
  </si>
  <si>
    <t>60,3850</t>
  </si>
  <si>
    <t>53,5640</t>
  </si>
  <si>
    <t>53,4100</t>
  </si>
  <si>
    <t>52,4992</t>
  </si>
  <si>
    <t>46,5989</t>
  </si>
  <si>
    <t>88,4360</t>
  </si>
  <si>
    <t>80,1525</t>
  </si>
  <si>
    <t>73,0950</t>
  </si>
  <si>
    <t>99,3635</t>
  </si>
  <si>
    <t>97,0375</t>
  </si>
  <si>
    <t>94,2650</t>
  </si>
  <si>
    <t>92,7950</t>
  </si>
  <si>
    <t>90,6440</t>
  </si>
  <si>
    <t>89,2960</t>
  </si>
  <si>
    <t>87,0600</t>
  </si>
  <si>
    <t>86,5670</t>
  </si>
  <si>
    <t>86,4110</t>
  </si>
  <si>
    <t>85,1920</t>
  </si>
  <si>
    <t>84,6877</t>
  </si>
  <si>
    <t>80,1225</t>
  </si>
  <si>
    <t>79,3107</t>
  </si>
  <si>
    <t>79,2300</t>
  </si>
  <si>
    <t>78,6388</t>
  </si>
  <si>
    <t>77,7480</t>
  </si>
  <si>
    <t>72,0200</t>
  </si>
  <si>
    <t>68,6135</t>
  </si>
  <si>
    <t>68,2525</t>
  </si>
  <si>
    <t>88,1252</t>
  </si>
  <si>
    <t>76,4111</t>
  </si>
  <si>
    <t>Результат</t>
  </si>
  <si>
    <t>Областной турнир по силовым видам спорта Siberian Force-3
ПРО жим лежа без экипировки
Кемерово/Кемеровская область декабря 2018 г.</t>
  </si>
  <si>
    <t>Симоненко Егор</t>
  </si>
  <si>
    <t>1. Симоненко Егор</t>
  </si>
  <si>
    <t>Открытая (03.02.1990)/28</t>
  </si>
  <si>
    <t>88,50</t>
  </si>
  <si>
    <t>Булгаков Максим</t>
  </si>
  <si>
    <t>1. Булгаков Максим</t>
  </si>
  <si>
    <t>Открытая (13.12.1988)/30</t>
  </si>
  <si>
    <t>96,40</t>
  </si>
  <si>
    <t>Кербер Владислав</t>
  </si>
  <si>
    <t>1. Кербер Владислав</t>
  </si>
  <si>
    <t>Юниоры 20 - 23 (07.09.1995)/23</t>
  </si>
  <si>
    <t>107,70</t>
  </si>
  <si>
    <t>Открытая (07.09.1995)/23</t>
  </si>
  <si>
    <t>Чувичкин Максим</t>
  </si>
  <si>
    <t>2. Чувичкин Максим</t>
  </si>
  <si>
    <t>Открытая (12.11.1983)/35</t>
  </si>
  <si>
    <t>109,20</t>
  </si>
  <si>
    <t>Богатчук Павел</t>
  </si>
  <si>
    <t>3. Богатчук Павел</t>
  </si>
  <si>
    <t>Открытая (09.05.1983)/35</t>
  </si>
  <si>
    <t>108,80</t>
  </si>
  <si>
    <t>Ельшин Константин</t>
  </si>
  <si>
    <t>1. Ельшин Константин</t>
  </si>
  <si>
    <t>Открытая (19.07.1986)/32</t>
  </si>
  <si>
    <t>118,60</t>
  </si>
  <si>
    <t>Скударнов Александр</t>
  </si>
  <si>
    <t>1. Скударнов Александр</t>
  </si>
  <si>
    <t>Открытая (05.05.1986)/32</t>
  </si>
  <si>
    <t>140,00</t>
  </si>
  <si>
    <t xml:space="preserve">Ельшин К. </t>
  </si>
  <si>
    <t>113,2950</t>
  </si>
  <si>
    <t>118,8675</t>
  </si>
  <si>
    <t>107,5000</t>
  </si>
  <si>
    <t>105,7350</t>
  </si>
  <si>
    <t>102,2200</t>
  </si>
  <si>
    <t>94,4030</t>
  </si>
  <si>
    <t>78,3605</t>
  </si>
  <si>
    <t>Областной турнир по силовым видам спорта Siberian Force-3
Любители жим лежа в софт экипировке
Кемерово/Кемеровская область декабря 2018 г.</t>
  </si>
  <si>
    <t>Нмколовский Павел</t>
  </si>
  <si>
    <t>1. Нмколовский Павел</t>
  </si>
  <si>
    <t>Открытая (08.05.1978)/40</t>
  </si>
  <si>
    <t>74,90</t>
  </si>
  <si>
    <t>Мостовой Андрей</t>
  </si>
  <si>
    <t>1. Мостовой Андрей</t>
  </si>
  <si>
    <t>Открытая (20.05.1982)/36</t>
  </si>
  <si>
    <t>79,40</t>
  </si>
  <si>
    <t>Павленко Анатолий</t>
  </si>
  <si>
    <t>1. Павленко Анатолий</t>
  </si>
  <si>
    <t>Мастера 65 - 69 (26.05.1951)/67</t>
  </si>
  <si>
    <t>89,90</t>
  </si>
  <si>
    <t>Молчан Николай</t>
  </si>
  <si>
    <t>1. Молчан Николай</t>
  </si>
  <si>
    <t>Открытая (24.01.1984)/34</t>
  </si>
  <si>
    <t>124,00</t>
  </si>
  <si>
    <t>197,5</t>
  </si>
  <si>
    <t>149,6700</t>
  </si>
  <si>
    <t>142,7840</t>
  </si>
  <si>
    <t>130,4620</t>
  </si>
  <si>
    <t>107,0920</t>
  </si>
  <si>
    <t xml:space="preserve">Мастера 65 - 69 </t>
  </si>
  <si>
    <t>188,3611</t>
  </si>
  <si>
    <t>Областной турнир по силовым видам спорта Siberian Force-3
ПРО жим лежа в софт экипировке
Кемерово/Кемеровская область декабря 2018 г.</t>
  </si>
  <si>
    <t>Баранов Валерий</t>
  </si>
  <si>
    <t>1. Баранов Валерий</t>
  </si>
  <si>
    <t>Юниоры 20 - 23 (13.01.1997)/21</t>
  </si>
  <si>
    <t>Верхотуров Алексей</t>
  </si>
  <si>
    <t>1. Верхотуров Алексей</t>
  </si>
  <si>
    <t>Открытая (30.03.1983)/35</t>
  </si>
  <si>
    <t>85,00</t>
  </si>
  <si>
    <t>2. Симоненко Егор</t>
  </si>
  <si>
    <t>350,0</t>
  </si>
  <si>
    <t>365,0</t>
  </si>
  <si>
    <t>380,0</t>
  </si>
  <si>
    <t>142,3359</t>
  </si>
  <si>
    <t>200,7540</t>
  </si>
  <si>
    <t>153,2422</t>
  </si>
  <si>
    <t>100,5380</t>
  </si>
  <si>
    <t>Областной турнир по силовым видам спорта Siberian Force-3
ПРО жим лежа в софт экипировке3сл.
Кемерово/Кемеровская область декабря 2018 г.</t>
  </si>
  <si>
    <t>Малашкин Василий</t>
  </si>
  <si>
    <t>1. Малашкин Василий</t>
  </si>
  <si>
    <t>Открытая (14.02.1992)/26</t>
  </si>
  <si>
    <t>130,40</t>
  </si>
  <si>
    <t>340,0</t>
  </si>
  <si>
    <t>382,5</t>
  </si>
  <si>
    <t>182,6546</t>
  </si>
  <si>
    <t>Областной турнир по силовым видам спорта Siberian Force-3
Любители становая тяга без экипировки
Кемерово/Кемеровская область декабря 2018 г.</t>
  </si>
  <si>
    <t>Бойченко Наталья</t>
  </si>
  <si>
    <t>1. Бойченко Наталья</t>
  </si>
  <si>
    <t>Открытая (01.04.1985)/33</t>
  </si>
  <si>
    <t>46,80</t>
  </si>
  <si>
    <t xml:space="preserve">Сергиенко Д </t>
  </si>
  <si>
    <t>Богданова Ольга</t>
  </si>
  <si>
    <t>1. Богданова Ольга</t>
  </si>
  <si>
    <t>Мастера 40 - 44 (02.01.1976)/42</t>
  </si>
  <si>
    <t>50,30</t>
  </si>
  <si>
    <t xml:space="preserve">Бойко В </t>
  </si>
  <si>
    <t>Коблова Ирина</t>
  </si>
  <si>
    <t>1. Коблова Ирина</t>
  </si>
  <si>
    <t>Открытая (14.03.1982)/36</t>
  </si>
  <si>
    <t>54,30</t>
  </si>
  <si>
    <t>2. Герасименко Алена</t>
  </si>
  <si>
    <t>3. Николаева Елена</t>
  </si>
  <si>
    <t>Пугосей Наталья</t>
  </si>
  <si>
    <t>1. Пугосей Наталья</t>
  </si>
  <si>
    <t>Открытая (03.12.1986)/32</t>
  </si>
  <si>
    <t>64,10</t>
  </si>
  <si>
    <t xml:space="preserve">Овечкин А. </t>
  </si>
  <si>
    <t>Юниоры 20 - 23 (25.10.1997)/21</t>
  </si>
  <si>
    <t>Туркин Александр</t>
  </si>
  <si>
    <t>1. Туркин Александр</t>
  </si>
  <si>
    <t>Открытая (18.08.1986)/32</t>
  </si>
  <si>
    <t>66,30</t>
  </si>
  <si>
    <t>1. Гордиенко Александр</t>
  </si>
  <si>
    <t>Пузырев Сергей</t>
  </si>
  <si>
    <t>1. Пузырев Сергей</t>
  </si>
  <si>
    <t>Мастера 45 - 49 (18.04.1971)/47</t>
  </si>
  <si>
    <t>Волошин Владимир</t>
  </si>
  <si>
    <t>1. Волошин Владимир</t>
  </si>
  <si>
    <t>Открытая (04.09.1988)/30</t>
  </si>
  <si>
    <t>81,00</t>
  </si>
  <si>
    <t>Каменев Владимир</t>
  </si>
  <si>
    <t>1. Каменев Владимир</t>
  </si>
  <si>
    <t>Мастера 65 - 69 (23.06.1952)/66</t>
  </si>
  <si>
    <t>Бойко Вадим</t>
  </si>
  <si>
    <t>1. Бойко Вадим</t>
  </si>
  <si>
    <t>Открытая (11.03.1990)/28</t>
  </si>
  <si>
    <t>257,5</t>
  </si>
  <si>
    <t>2. Колганов Эдуард</t>
  </si>
  <si>
    <t>3. Перегон Егор</t>
  </si>
  <si>
    <t>Вагов Александр</t>
  </si>
  <si>
    <t>1. Вагов Александр</t>
  </si>
  <si>
    <t>Мастера 40 - 44 (07.06.1976)/42</t>
  </si>
  <si>
    <t>Борискин Константин</t>
  </si>
  <si>
    <t>1. Борискин Константин</t>
  </si>
  <si>
    <t>Открытая (25.09.1990)/28</t>
  </si>
  <si>
    <t>101,00</t>
  </si>
  <si>
    <t>2. Кириченко Денис</t>
  </si>
  <si>
    <t>Шабаев Амин</t>
  </si>
  <si>
    <t>2. Шабаев Амин</t>
  </si>
  <si>
    <t>Открытая (09.10.1986)/32</t>
  </si>
  <si>
    <t>120,00</t>
  </si>
  <si>
    <t>3. Молчан Николай</t>
  </si>
  <si>
    <t>107,5825</t>
  </si>
  <si>
    <t>98,3745</t>
  </si>
  <si>
    <t>98,0830</t>
  </si>
  <si>
    <t>97,7100</t>
  </si>
  <si>
    <t>89,7345</t>
  </si>
  <si>
    <t>108,0336</t>
  </si>
  <si>
    <t>80,3650</t>
  </si>
  <si>
    <t>146,9599</t>
  </si>
  <si>
    <t>145,0656</t>
  </si>
  <si>
    <t>145,4081</t>
  </si>
  <si>
    <t>153,0322</t>
  </si>
  <si>
    <t>132,5165</t>
  </si>
  <si>
    <t>130,0200</t>
  </si>
  <si>
    <t>129,6495</t>
  </si>
  <si>
    <t>127,1350</t>
  </si>
  <si>
    <t>125,3112</t>
  </si>
  <si>
    <t>123,5647</t>
  </si>
  <si>
    <t>120,2850</t>
  </si>
  <si>
    <t>115,9400</t>
  </si>
  <si>
    <t>113,6220</t>
  </si>
  <si>
    <t>103,5045</t>
  </si>
  <si>
    <t>173,0093</t>
  </si>
  <si>
    <t>125,4356</t>
  </si>
  <si>
    <t>115,4402</t>
  </si>
  <si>
    <t>Областной турнир по силовым видам спорта Siberian Force-3
ПРО становая тяга без экипировки
Кемерово/Кемеровская область декабря 2018 г.</t>
  </si>
  <si>
    <t>92,5</t>
  </si>
  <si>
    <t>Черняев Михаил</t>
  </si>
  <si>
    <t>1. Черняев Михаил</t>
  </si>
  <si>
    <t>Открытая (09.05.1975)/43</t>
  </si>
  <si>
    <t>81,40</t>
  </si>
  <si>
    <t>1. Толстушенко Павел</t>
  </si>
  <si>
    <t>88,10</t>
  </si>
  <si>
    <t>Черняков Тимофей</t>
  </si>
  <si>
    <t>2. Черняков Тимофей</t>
  </si>
  <si>
    <t>Открытая (16.12.1993)/25</t>
  </si>
  <si>
    <t>86,60</t>
  </si>
  <si>
    <t>255,0</t>
  </si>
  <si>
    <t>270,0</t>
  </si>
  <si>
    <t>3. Павельев Егор</t>
  </si>
  <si>
    <t>Елагин Сергей</t>
  </si>
  <si>
    <t>1. Елагин Сергей</t>
  </si>
  <si>
    <t>Мастера 40 - 44 (18.07.1974)/44</t>
  </si>
  <si>
    <t>87,90</t>
  </si>
  <si>
    <t>Нестеров Иван</t>
  </si>
  <si>
    <t>1. Нестеров Иван</t>
  </si>
  <si>
    <t>Открытая (23.10.1994)/24</t>
  </si>
  <si>
    <t>93,30</t>
  </si>
  <si>
    <t>Кочубей Роман</t>
  </si>
  <si>
    <t>1. Кочубей Роман</t>
  </si>
  <si>
    <t>Открытая (17.02.1994)/24</t>
  </si>
  <si>
    <t>Лановикин Андрей</t>
  </si>
  <si>
    <t>1. Лановикин Андрей</t>
  </si>
  <si>
    <t>Юноши 18 - 19 (29.08.1999)/19</t>
  </si>
  <si>
    <t>124,60</t>
  </si>
  <si>
    <t>122,0544</t>
  </si>
  <si>
    <t>111,6954</t>
  </si>
  <si>
    <t>157,1450</t>
  </si>
  <si>
    <t>156,2750</t>
  </si>
  <si>
    <t>152,8725</t>
  </si>
  <si>
    <t>140,6640</t>
  </si>
  <si>
    <t>137,9020</t>
  </si>
  <si>
    <t>134,3750</t>
  </si>
  <si>
    <t>116,1135</t>
  </si>
  <si>
    <t>134,7084</t>
  </si>
  <si>
    <t>Областной турнир по силовым видам спорта Siberian Force-3
Любители присед без экипировки
Кемерово/Кемеровская область декабря 2018 г.</t>
  </si>
  <si>
    <t>89,0055</t>
  </si>
  <si>
    <t>Веселые ребята</t>
  </si>
  <si>
    <t>4. Устяхин Егор</t>
  </si>
  <si>
    <t>1695,8626</t>
  </si>
  <si>
    <t>2562,5</t>
  </si>
  <si>
    <t>Дусаев Эдуард</t>
  </si>
  <si>
    <t>1827,9279</t>
  </si>
  <si>
    <t>2320,0</t>
  </si>
  <si>
    <t>Огородников Виктор</t>
  </si>
  <si>
    <t xml:space="preserve">НАП Н.Ж. </t>
  </si>
  <si>
    <t>2119,7385</t>
  </si>
  <si>
    <t>2805,0</t>
  </si>
  <si>
    <t>25,0</t>
  </si>
  <si>
    <t>Мастера 45 - 49 (09.02.1972)/46</t>
  </si>
  <si>
    <t>1. Дусаев Эдуард</t>
  </si>
  <si>
    <t>33,0</t>
  </si>
  <si>
    <t>29,0</t>
  </si>
  <si>
    <t>79,20</t>
  </si>
  <si>
    <t>Мастера 40 - 44 (12.04.1978)/40</t>
  </si>
  <si>
    <t>1. Огородников Виктор</t>
  </si>
  <si>
    <t>Повторы</t>
  </si>
  <si>
    <t>Вес</t>
  </si>
  <si>
    <t>Тоннаж</t>
  </si>
  <si>
    <t>Жим мн. повт.</t>
  </si>
  <si>
    <t>НАП Н.Ж.</t>
  </si>
  <si>
    <t>Областной турнир по силовым видам спорта Народный жим
Профессионалы народный жим (1 вес)
Кемерово/Кемеровская область декабря 2018 г.</t>
  </si>
  <si>
    <t>851,0250</t>
  </si>
  <si>
    <t>875,0</t>
  </si>
  <si>
    <t>923,0325</t>
  </si>
  <si>
    <t>975,0</t>
  </si>
  <si>
    <t>Областной турнир по силовым видам спорта Народный жим
Любители народный жим (1/2 вес)
Кемерово/Кемеровская область декабря 2018 г.</t>
  </si>
  <si>
    <t>1565,6438</t>
  </si>
  <si>
    <t>2062,5</t>
  </si>
  <si>
    <t>Алексеев Алексей</t>
  </si>
  <si>
    <t>1839,3480</t>
  </si>
  <si>
    <t>2520,0</t>
  </si>
  <si>
    <t>1298,5500</t>
  </si>
  <si>
    <t>1650,0</t>
  </si>
  <si>
    <t>28,0</t>
  </si>
  <si>
    <t>1. Туманов Никита</t>
  </si>
  <si>
    <t>82,20</t>
  </si>
  <si>
    <t>Открытая (04.11.1991)/27</t>
  </si>
  <si>
    <t>1. Алексеев Алексей</t>
  </si>
  <si>
    <t>22,0</t>
  </si>
  <si>
    <t>Областной турнир по силовым видам спорта Народный жим
Любители народный жим (1 вес)
Кемерово/Кемеровская область декабря 2018 г.</t>
  </si>
  <si>
    <t>81,2493</t>
  </si>
  <si>
    <t>Галковский Николай</t>
  </si>
  <si>
    <t>84,7237</t>
  </si>
  <si>
    <t>57,5</t>
  </si>
  <si>
    <t>96,60</t>
  </si>
  <si>
    <t>Мастера 45 - 49 (04.06.1972)/46</t>
  </si>
  <si>
    <t>1. Галковский Николай</t>
  </si>
  <si>
    <t>Подъем на бицепс</t>
  </si>
  <si>
    <t>Жим стоя</t>
  </si>
  <si>
    <t>Собственный
вес</t>
  </si>
  <si>
    <t>Областной турнир Siberian Force-3 Пауэрспорт
Пауэрспорт Любители
Кемерово/Кемеровская область декабря 2018 г.</t>
  </si>
  <si>
    <t>37,5975</t>
  </si>
  <si>
    <t>37,6600</t>
  </si>
  <si>
    <t>1. Богатчук Павел</t>
  </si>
  <si>
    <t>62,5</t>
  </si>
  <si>
    <t>Областной турнир Siberian Force-3 Пауэрспорт
Одиночный подъём штанги на бицепс Профессионалы
Кемерово/Кемеровская область декабря 2018 г.</t>
  </si>
  <si>
    <t>40,5735</t>
  </si>
  <si>
    <t>36,5475</t>
  </si>
  <si>
    <t>Областной турнир Siberian Force-3 Пауэрспорт
Одиночный подъём штанги на бицепс Любители
Кемерово/Кемеровская область декабря 2018 г.</t>
  </si>
  <si>
    <t>44,8537</t>
  </si>
  <si>
    <t>Областной турнир Siberian Force-3 Пауэрспорт
Одиночный жим штанги стоя Любители
Кемерово/Кемеровская область декабря 2018 г.</t>
  </si>
  <si>
    <t>29,1932</t>
  </si>
  <si>
    <t>2750,0</t>
  </si>
  <si>
    <t>All</t>
  </si>
  <si>
    <t>Манаков Денис</t>
  </si>
  <si>
    <t>42,1860</t>
  </si>
  <si>
    <t>4400,0</t>
  </si>
  <si>
    <t xml:space="preserve">Кожемяко </t>
  </si>
  <si>
    <t xml:space="preserve">Атлетизм </t>
  </si>
  <si>
    <t>44,0607</t>
  </si>
  <si>
    <t>3190,0</t>
  </si>
  <si>
    <t>Попов Евгений</t>
  </si>
  <si>
    <t>49,4239</t>
  </si>
  <si>
    <t>4290,0</t>
  </si>
  <si>
    <t>Ганьшин Евгений</t>
  </si>
  <si>
    <t>15,5773</t>
  </si>
  <si>
    <t>1430,0</t>
  </si>
  <si>
    <t>Родионов Данил</t>
  </si>
  <si>
    <t xml:space="preserve">Ганьшин Е </t>
  </si>
  <si>
    <t>94,20</t>
  </si>
  <si>
    <t>Мастера 40 - 44 (04.12.1978)/40</t>
  </si>
  <si>
    <t>2. Манаков Денис</t>
  </si>
  <si>
    <t xml:space="preserve">Мариинск/Кемеровская область </t>
  </si>
  <si>
    <t>104,30</t>
  </si>
  <si>
    <t>Мастера 40 - 44 (31.10.1978)/40</t>
  </si>
  <si>
    <t xml:space="preserve">1. Кожемяко </t>
  </si>
  <si>
    <t>58,0</t>
  </si>
  <si>
    <t>72,40</t>
  </si>
  <si>
    <t>Открытая (26.12.1991)/26</t>
  </si>
  <si>
    <t>2. Попов Евгений</t>
  </si>
  <si>
    <t>78,0</t>
  </si>
  <si>
    <t>Открытая (14.04.1982)/36</t>
  </si>
  <si>
    <t>1. Ганьшин Евгений</t>
  </si>
  <si>
    <t>26,0</t>
  </si>
  <si>
    <t>91,80</t>
  </si>
  <si>
    <t>Юноши 16 - 17 (05.07.2001)/17</t>
  </si>
  <si>
    <t>1. Родионов Данил</t>
  </si>
  <si>
    <t>ВЕСОВАЯ КАТЕГОРИЯ   All</t>
  </si>
  <si>
    <t>Атлетизм</t>
  </si>
  <si>
    <t>Областной турнир Siderian Force-3 Русский Жим
Русский жим любители 55 кг.
Кемерово/Кемеровская область декабря 2018 г.</t>
  </si>
  <si>
    <t>13,3000</t>
  </si>
  <si>
    <t>665,0</t>
  </si>
  <si>
    <t>19,0</t>
  </si>
  <si>
    <t>Областной турнир Siderian Force-3 Русский Жим
Русский жим любители 35 кг.
Кемерово/Кемеровская область декабря 2018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</si>
</sst>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2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left" indent="1"/>
    </xf>
    <xf numFmtId="49" fontId="27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29" fillId="0" borderId="10" xfId="0" applyNumberFormat="1" applyFont="1" applyFill="1" applyBorder="1" applyAlignment="1">
      <alignment horizontal="center" vertical="center"/>
    </xf>
    <xf numFmtId="49" fontId="30" fillId="0" borderId="23" xfId="0" applyNumberFormat="1" applyFont="1" applyFill="1" applyBorder="1" applyAlignment="1">
      <alignment horizontal="center" vertical="center"/>
    </xf>
    <xf numFmtId="49" fontId="30" fillId="0" borderId="22" xfId="0" applyNumberFormat="1" applyFont="1" applyFill="1" applyBorder="1" applyAlignment="1">
      <alignment horizontal="center" vertical="center"/>
    </xf>
    <xf numFmtId="49" fontId="30" fillId="0" borderId="21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6.625" style="5" bestFit="1" customWidth="1"/>
    <col min="5" max="5" width="23.75390625" style="4" bestFit="1" customWidth="1"/>
    <col min="6" max="6" width="21.125" style="4" bestFit="1" customWidth="1"/>
    <col min="7" max="7" width="5.625" style="3" bestFit="1" customWidth="1"/>
    <col min="8" max="8" width="7.00390625" style="3" customWidth="1"/>
    <col min="9" max="9" width="6.25390625" style="3" bestFit="1" customWidth="1"/>
    <col min="10" max="10" width="5.625" style="3" bestFit="1" customWidth="1"/>
    <col min="11" max="13" width="7.00390625" style="3" bestFit="1" customWidth="1"/>
    <col min="14" max="14" width="5.625" style="3" bestFit="1" customWidth="1"/>
    <col min="15" max="16" width="7.00390625" style="3" bestFit="1" customWidth="1"/>
    <col min="17" max="17" width="6.25390625" style="3" bestFit="1" customWidth="1"/>
    <col min="18" max="18" width="5.625" style="3" bestFit="1" customWidth="1"/>
    <col min="19" max="19" width="7.875" style="5" bestFit="1" customWidth="1"/>
    <col min="20" max="20" width="8.625" style="6" bestFit="1" customWidth="1"/>
    <col min="21" max="21" width="23.00390625" style="4" bestFit="1" customWidth="1"/>
    <col min="22" max="16384" width="9.125" style="3" customWidth="1"/>
  </cols>
  <sheetData>
    <row r="1" spans="1:21" s="2" customFormat="1" ht="1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6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s="1" customFormat="1" ht="12.75" customHeight="1">
      <c r="A3" s="40" t="s">
        <v>0</v>
      </c>
      <c r="B3" s="42" t="s">
        <v>10</v>
      </c>
      <c r="C3" s="42" t="s">
        <v>11</v>
      </c>
      <c r="D3" s="30" t="s">
        <v>9</v>
      </c>
      <c r="E3" s="44" t="s">
        <v>7</v>
      </c>
      <c r="F3" s="44" t="s">
        <v>12</v>
      </c>
      <c r="G3" s="44" t="s">
        <v>1</v>
      </c>
      <c r="H3" s="44"/>
      <c r="I3" s="44"/>
      <c r="J3" s="44"/>
      <c r="K3" s="44" t="s">
        <v>2</v>
      </c>
      <c r="L3" s="44"/>
      <c r="M3" s="44"/>
      <c r="N3" s="44"/>
      <c r="O3" s="44" t="s">
        <v>3</v>
      </c>
      <c r="P3" s="44"/>
      <c r="Q3" s="44"/>
      <c r="R3" s="44"/>
      <c r="S3" s="30" t="s">
        <v>4</v>
      </c>
      <c r="T3" s="30" t="s">
        <v>6</v>
      </c>
      <c r="U3" s="32" t="s">
        <v>5</v>
      </c>
    </row>
    <row r="4" spans="1:21" s="1" customFormat="1" ht="21" customHeight="1" thickBot="1">
      <c r="A4" s="41"/>
      <c r="B4" s="43"/>
      <c r="C4" s="43"/>
      <c r="D4" s="31"/>
      <c r="E4" s="43"/>
      <c r="F4" s="43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31"/>
      <c r="T4" s="31"/>
      <c r="U4" s="33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5"/>
  <sheetViews>
    <sheetView zoomScale="80" zoomScaleNormal="80" zoomScalePageLayoutView="0" workbookViewId="0" topLeftCell="A13">
      <selection activeCell="A28" sqref="A28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7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1.75390625" style="4" bestFit="1" customWidth="1"/>
    <col min="22" max="16384" width="9.125" style="3" customWidth="1"/>
  </cols>
  <sheetData>
    <row r="1" spans="1:21" s="2" customFormat="1" ht="28.5" customHeight="1">
      <c r="A1" s="47" t="s">
        <v>263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s="1" customFormat="1" ht="12.75" customHeight="1">
      <c r="A3" s="40" t="s">
        <v>0</v>
      </c>
      <c r="B3" s="42" t="s">
        <v>10</v>
      </c>
      <c r="C3" s="42" t="s">
        <v>11</v>
      </c>
      <c r="D3" s="44" t="s">
        <v>20</v>
      </c>
      <c r="E3" s="44" t="s">
        <v>7</v>
      </c>
      <c r="F3" s="44" t="s">
        <v>12</v>
      </c>
      <c r="G3" s="44" t="s">
        <v>21</v>
      </c>
      <c r="H3" s="44"/>
      <c r="I3" s="44"/>
      <c r="J3" s="44"/>
      <c r="K3" s="44" t="s">
        <v>22</v>
      </c>
      <c r="L3" s="44"/>
      <c r="M3" s="44"/>
      <c r="N3" s="44"/>
      <c r="O3" s="44" t="s">
        <v>23</v>
      </c>
      <c r="P3" s="44"/>
      <c r="Q3" s="44"/>
      <c r="R3" s="44"/>
      <c r="S3" s="44" t="s">
        <v>4</v>
      </c>
      <c r="T3" s="44" t="s">
        <v>6</v>
      </c>
      <c r="U3" s="32" t="s">
        <v>5</v>
      </c>
    </row>
    <row r="4" spans="1:21" s="1" customFormat="1" ht="21" customHeight="1" thickBot="1">
      <c r="A4" s="41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3"/>
      <c r="T4" s="43"/>
      <c r="U4" s="33"/>
    </row>
    <row r="5" spans="1:20" ht="15">
      <c r="A5" s="45" t="s">
        <v>264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1" ht="12.75">
      <c r="A6" s="10" t="s">
        <v>266</v>
      </c>
      <c r="B6" s="10" t="s">
        <v>267</v>
      </c>
      <c r="C6" s="10" t="s">
        <v>268</v>
      </c>
      <c r="D6" s="10" t="str">
        <f>"0,8781"</f>
        <v>0,8781</v>
      </c>
      <c r="E6" s="10" t="s">
        <v>104</v>
      </c>
      <c r="F6" s="10" t="s">
        <v>58</v>
      </c>
      <c r="G6" s="11" t="s">
        <v>48</v>
      </c>
      <c r="H6" s="11" t="s">
        <v>50</v>
      </c>
      <c r="I6" s="11" t="s">
        <v>106</v>
      </c>
      <c r="J6" s="12"/>
      <c r="K6" s="11" t="s">
        <v>269</v>
      </c>
      <c r="L6" s="11" t="s">
        <v>270</v>
      </c>
      <c r="M6" s="12" t="s">
        <v>61</v>
      </c>
      <c r="N6" s="12"/>
      <c r="O6" s="11" t="s">
        <v>49</v>
      </c>
      <c r="P6" s="11" t="s">
        <v>106</v>
      </c>
      <c r="Q6" s="11" t="s">
        <v>37</v>
      </c>
      <c r="R6" s="12"/>
      <c r="S6" s="10" t="str">
        <f>"202,5"</f>
        <v>202,5</v>
      </c>
      <c r="T6" s="11" t="str">
        <f>"177,8254"</f>
        <v>177,8254</v>
      </c>
      <c r="U6" s="10" t="s">
        <v>271</v>
      </c>
    </row>
    <row r="8" spans="1:20" ht="15">
      <c r="A8" s="48" t="s">
        <v>52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1" ht="12.75">
      <c r="A9" s="10" t="s">
        <v>273</v>
      </c>
      <c r="B9" s="10" t="s">
        <v>274</v>
      </c>
      <c r="C9" s="10" t="s">
        <v>275</v>
      </c>
      <c r="D9" s="10" t="str">
        <f>"1,0686"</f>
        <v>1,0686</v>
      </c>
      <c r="E9" s="10" t="s">
        <v>104</v>
      </c>
      <c r="F9" s="10" t="s">
        <v>105</v>
      </c>
      <c r="G9" s="11" t="s">
        <v>276</v>
      </c>
      <c r="H9" s="11" t="s">
        <v>239</v>
      </c>
      <c r="I9" s="12" t="s">
        <v>49</v>
      </c>
      <c r="J9" s="12"/>
      <c r="K9" s="12" t="s">
        <v>34</v>
      </c>
      <c r="L9" s="11" t="s">
        <v>34</v>
      </c>
      <c r="M9" s="12" t="s">
        <v>35</v>
      </c>
      <c r="N9" s="12"/>
      <c r="O9" s="12" t="s">
        <v>62</v>
      </c>
      <c r="P9" s="11" t="s">
        <v>62</v>
      </c>
      <c r="Q9" s="11" t="s">
        <v>106</v>
      </c>
      <c r="R9" s="12"/>
      <c r="S9" s="10" t="str">
        <f>"182,5"</f>
        <v>182,5</v>
      </c>
      <c r="T9" s="11" t="str">
        <f>"220,3720"</f>
        <v>220,3720</v>
      </c>
      <c r="U9" s="10" t="s">
        <v>131</v>
      </c>
    </row>
    <row r="11" spans="1:20" ht="15">
      <c r="A11" s="48" t="s">
        <v>73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1" ht="12.75">
      <c r="A12" s="10" t="s">
        <v>278</v>
      </c>
      <c r="B12" s="10" t="s">
        <v>279</v>
      </c>
      <c r="C12" s="10" t="s">
        <v>280</v>
      </c>
      <c r="D12" s="10" t="str">
        <f>"0,7258"</f>
        <v>0,7258</v>
      </c>
      <c r="E12" s="10" t="s">
        <v>84</v>
      </c>
      <c r="F12" s="10" t="s">
        <v>281</v>
      </c>
      <c r="G12" s="11" t="s">
        <v>46</v>
      </c>
      <c r="H12" s="11" t="s">
        <v>93</v>
      </c>
      <c r="I12" s="12" t="s">
        <v>70</v>
      </c>
      <c r="J12" s="12"/>
      <c r="K12" s="11" t="s">
        <v>69</v>
      </c>
      <c r="L12" s="12" t="s">
        <v>117</v>
      </c>
      <c r="M12" s="12" t="s">
        <v>113</v>
      </c>
      <c r="N12" s="12"/>
      <c r="O12" s="12" t="s">
        <v>97</v>
      </c>
      <c r="P12" s="11" t="s">
        <v>97</v>
      </c>
      <c r="Q12" s="12"/>
      <c r="R12" s="12"/>
      <c r="S12" s="10" t="str">
        <f>"440,0"</f>
        <v>440,0</v>
      </c>
      <c r="T12" s="11" t="str">
        <f>"319,3520"</f>
        <v>319,3520</v>
      </c>
      <c r="U12" s="10" t="s">
        <v>282</v>
      </c>
    </row>
    <row r="14" spans="1:20" ht="15">
      <c r="A14" s="48" t="s">
        <v>118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1" ht="12.75">
      <c r="A15" s="10" t="s">
        <v>284</v>
      </c>
      <c r="B15" s="10" t="s">
        <v>285</v>
      </c>
      <c r="C15" s="10" t="s">
        <v>122</v>
      </c>
      <c r="D15" s="10" t="str">
        <f>"0,6193"</f>
        <v>0,6193</v>
      </c>
      <c r="E15" s="10" t="s">
        <v>84</v>
      </c>
      <c r="F15" s="10" t="s">
        <v>286</v>
      </c>
      <c r="G15" s="11" t="s">
        <v>107</v>
      </c>
      <c r="H15" s="11" t="s">
        <v>149</v>
      </c>
      <c r="I15" s="11" t="s">
        <v>198</v>
      </c>
      <c r="J15" s="12"/>
      <c r="K15" s="11" t="s">
        <v>146</v>
      </c>
      <c r="L15" s="12" t="s">
        <v>172</v>
      </c>
      <c r="M15" s="11" t="s">
        <v>172</v>
      </c>
      <c r="N15" s="12"/>
      <c r="O15" s="11" t="s">
        <v>97</v>
      </c>
      <c r="P15" s="11" t="s">
        <v>124</v>
      </c>
      <c r="Q15" s="12" t="s">
        <v>138</v>
      </c>
      <c r="R15" s="12"/>
      <c r="S15" s="10" t="str">
        <f>"570,0"</f>
        <v>570,0</v>
      </c>
      <c r="T15" s="11" t="str">
        <f>"353,0010"</f>
        <v>353,0010</v>
      </c>
      <c r="U15" s="10" t="s">
        <v>87</v>
      </c>
    </row>
    <row r="17" spans="1:20" ht="15">
      <c r="A17" s="48" t="s">
        <v>140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1" ht="12.75">
      <c r="A18" s="13" t="s">
        <v>288</v>
      </c>
      <c r="B18" s="13" t="s">
        <v>289</v>
      </c>
      <c r="C18" s="13" t="s">
        <v>290</v>
      </c>
      <c r="D18" s="13" t="str">
        <f>"0,5861"</f>
        <v>0,5861</v>
      </c>
      <c r="E18" s="13" t="s">
        <v>29</v>
      </c>
      <c r="F18" s="13" t="s">
        <v>30</v>
      </c>
      <c r="G18" s="14" t="s">
        <v>187</v>
      </c>
      <c r="H18" s="14" t="s">
        <v>188</v>
      </c>
      <c r="I18" s="15" t="s">
        <v>291</v>
      </c>
      <c r="J18" s="15"/>
      <c r="K18" s="14" t="s">
        <v>93</v>
      </c>
      <c r="L18" s="14" t="s">
        <v>147</v>
      </c>
      <c r="M18" s="14" t="s">
        <v>292</v>
      </c>
      <c r="N18" s="15"/>
      <c r="O18" s="14" t="s">
        <v>155</v>
      </c>
      <c r="P18" s="14" t="s">
        <v>214</v>
      </c>
      <c r="Q18" s="15" t="s">
        <v>293</v>
      </c>
      <c r="R18" s="15"/>
      <c r="S18" s="13" t="str">
        <f>"632,5"</f>
        <v>632,5</v>
      </c>
      <c r="T18" s="14" t="str">
        <f>"370,7082"</f>
        <v>370,7082</v>
      </c>
      <c r="U18" s="13" t="s">
        <v>39</v>
      </c>
    </row>
    <row r="19" spans="1:21" ht="12.75">
      <c r="A19" s="16" t="s">
        <v>295</v>
      </c>
      <c r="B19" s="16" t="s">
        <v>296</v>
      </c>
      <c r="C19" s="16" t="s">
        <v>297</v>
      </c>
      <c r="D19" s="16" t="str">
        <f>"0,6018"</f>
        <v>0,6018</v>
      </c>
      <c r="E19" s="16" t="s">
        <v>84</v>
      </c>
      <c r="F19" s="16" t="s">
        <v>298</v>
      </c>
      <c r="G19" s="18" t="s">
        <v>96</v>
      </c>
      <c r="H19" s="18" t="s">
        <v>149</v>
      </c>
      <c r="I19" s="18" t="s">
        <v>198</v>
      </c>
      <c r="J19" s="17"/>
      <c r="K19" s="18" t="s">
        <v>46</v>
      </c>
      <c r="L19" s="18" t="s">
        <v>93</v>
      </c>
      <c r="M19" s="17" t="s">
        <v>146</v>
      </c>
      <c r="N19" s="17"/>
      <c r="O19" s="18" t="s">
        <v>214</v>
      </c>
      <c r="P19" s="18" t="s">
        <v>181</v>
      </c>
      <c r="Q19" s="18" t="s">
        <v>299</v>
      </c>
      <c r="R19" s="17"/>
      <c r="S19" s="16" t="str">
        <f>"610,0"</f>
        <v>610,0</v>
      </c>
      <c r="T19" s="18" t="str">
        <f>"367,0980"</f>
        <v>367,0980</v>
      </c>
      <c r="U19" s="16" t="s">
        <v>87</v>
      </c>
    </row>
    <row r="21" spans="1:20" ht="15">
      <c r="A21" s="48" t="s">
        <v>167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1" ht="12.75">
      <c r="A22" s="10" t="s">
        <v>301</v>
      </c>
      <c r="B22" s="10" t="s">
        <v>302</v>
      </c>
      <c r="C22" s="10" t="s">
        <v>303</v>
      </c>
      <c r="D22" s="10" t="str">
        <f>"0,5570"</f>
        <v>0,5570</v>
      </c>
      <c r="E22" s="10" t="s">
        <v>104</v>
      </c>
      <c r="F22" s="10" t="s">
        <v>105</v>
      </c>
      <c r="G22" s="11" t="s">
        <v>93</v>
      </c>
      <c r="H22" s="12" t="s">
        <v>304</v>
      </c>
      <c r="I22" s="12" t="s">
        <v>304</v>
      </c>
      <c r="J22" s="12"/>
      <c r="K22" s="11" t="s">
        <v>69</v>
      </c>
      <c r="L22" s="11" t="s">
        <v>51</v>
      </c>
      <c r="M22" s="12" t="s">
        <v>46</v>
      </c>
      <c r="N22" s="12"/>
      <c r="O22" s="11" t="s">
        <v>86</v>
      </c>
      <c r="P22" s="11" t="s">
        <v>97</v>
      </c>
      <c r="Q22" s="11" t="s">
        <v>198</v>
      </c>
      <c r="R22" s="12"/>
      <c r="S22" s="10" t="str">
        <f>"465,0"</f>
        <v>465,0</v>
      </c>
      <c r="T22" s="11" t="str">
        <f>"259,0050"</f>
        <v>259,0050</v>
      </c>
      <c r="U22" s="10" t="s">
        <v>131</v>
      </c>
    </row>
    <row r="24" spans="1:20" ht="15">
      <c r="A24" s="48" t="s">
        <v>182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1" ht="12.75">
      <c r="A25" s="10" t="s">
        <v>306</v>
      </c>
      <c r="B25" s="10" t="s">
        <v>307</v>
      </c>
      <c r="C25" s="10" t="s">
        <v>308</v>
      </c>
      <c r="D25" s="10" t="str">
        <f>"0,5504"</f>
        <v>0,5504</v>
      </c>
      <c r="E25" s="10" t="s">
        <v>741</v>
      </c>
      <c r="F25" s="10" t="s">
        <v>58</v>
      </c>
      <c r="G25" s="11" t="s">
        <v>107</v>
      </c>
      <c r="H25" s="11" t="s">
        <v>149</v>
      </c>
      <c r="I25" s="11" t="s">
        <v>98</v>
      </c>
      <c r="J25" s="12"/>
      <c r="K25" s="11" t="s">
        <v>203</v>
      </c>
      <c r="L25" s="11" t="s">
        <v>107</v>
      </c>
      <c r="M25" s="12" t="s">
        <v>97</v>
      </c>
      <c r="N25" s="12"/>
      <c r="O25" s="11" t="s">
        <v>124</v>
      </c>
      <c r="P25" s="12" t="s">
        <v>155</v>
      </c>
      <c r="Q25" s="12" t="s">
        <v>155</v>
      </c>
      <c r="R25" s="12"/>
      <c r="S25" s="10" t="str">
        <f>"595,0"</f>
        <v>595,0</v>
      </c>
      <c r="T25" s="11" t="str">
        <f>"327,4880"</f>
        <v>327,4880</v>
      </c>
      <c r="U25" s="10" t="s">
        <v>87</v>
      </c>
    </row>
    <row r="27" spans="1:20" ht="15">
      <c r="A27" s="48" t="s">
        <v>193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1" ht="12.75">
      <c r="A28" s="10" t="s">
        <v>310</v>
      </c>
      <c r="B28" s="10" t="s">
        <v>311</v>
      </c>
      <c r="C28" s="10" t="s">
        <v>312</v>
      </c>
      <c r="D28" s="10" t="str">
        <f>"0,5299"</f>
        <v>0,5299</v>
      </c>
      <c r="E28" s="10" t="s">
        <v>104</v>
      </c>
      <c r="F28" s="10" t="s">
        <v>105</v>
      </c>
      <c r="G28" s="11" t="s">
        <v>313</v>
      </c>
      <c r="H28" s="11" t="s">
        <v>314</v>
      </c>
      <c r="I28" s="11" t="s">
        <v>211</v>
      </c>
      <c r="J28" s="12"/>
      <c r="K28" s="11" t="s">
        <v>98</v>
      </c>
      <c r="L28" s="11" t="s">
        <v>124</v>
      </c>
      <c r="M28" s="12" t="s">
        <v>155</v>
      </c>
      <c r="N28" s="12"/>
      <c r="O28" s="11" t="s">
        <v>315</v>
      </c>
      <c r="P28" s="11" t="s">
        <v>211</v>
      </c>
      <c r="Q28" s="12" t="s">
        <v>316</v>
      </c>
      <c r="R28" s="12"/>
      <c r="S28" s="10" t="str">
        <f>"880,0"</f>
        <v>880,0</v>
      </c>
      <c r="T28" s="11" t="str">
        <f>"466,3120"</f>
        <v>466,3120</v>
      </c>
      <c r="U28" s="10" t="s">
        <v>87</v>
      </c>
    </row>
    <row r="30" spans="1:20" ht="15">
      <c r="A30" s="48" t="s">
        <v>317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1" ht="12.75">
      <c r="A31" s="10" t="s">
        <v>319</v>
      </c>
      <c r="B31" s="10" t="s">
        <v>320</v>
      </c>
      <c r="C31" s="10" t="s">
        <v>321</v>
      </c>
      <c r="D31" s="10" t="str">
        <f>"0,5126"</f>
        <v>0,5126</v>
      </c>
      <c r="E31" s="10" t="s">
        <v>84</v>
      </c>
      <c r="F31" s="10" t="s">
        <v>322</v>
      </c>
      <c r="G31" s="12" t="s">
        <v>96</v>
      </c>
      <c r="H31" s="11" t="s">
        <v>96</v>
      </c>
      <c r="I31" s="11" t="s">
        <v>124</v>
      </c>
      <c r="J31" s="12"/>
      <c r="K31" s="11" t="s">
        <v>70</v>
      </c>
      <c r="L31" s="12" t="s">
        <v>71</v>
      </c>
      <c r="M31" s="12" t="s">
        <v>71</v>
      </c>
      <c r="N31" s="12"/>
      <c r="O31" s="12" t="s">
        <v>97</v>
      </c>
      <c r="P31" s="11" t="s">
        <v>97</v>
      </c>
      <c r="Q31" s="12" t="s">
        <v>138</v>
      </c>
      <c r="R31" s="12"/>
      <c r="S31" s="10" t="str">
        <f>"550,0"</f>
        <v>550,0</v>
      </c>
      <c r="T31" s="11" t="str">
        <f>"322,5279"</f>
        <v>322,5279</v>
      </c>
      <c r="U31" s="10" t="s">
        <v>87</v>
      </c>
    </row>
    <row r="33" ht="15">
      <c r="E33" s="8" t="s">
        <v>13</v>
      </c>
    </row>
    <row r="34" ht="15">
      <c r="E34" s="8" t="s">
        <v>14</v>
      </c>
    </row>
    <row r="35" ht="15">
      <c r="E35" s="8" t="s">
        <v>15</v>
      </c>
    </row>
    <row r="36" ht="15">
      <c r="E36" s="8" t="s">
        <v>16</v>
      </c>
    </row>
    <row r="37" ht="15">
      <c r="E37" s="8" t="s">
        <v>16</v>
      </c>
    </row>
    <row r="38" ht="15">
      <c r="E38" s="8" t="s">
        <v>17</v>
      </c>
    </row>
    <row r="39" ht="15">
      <c r="E39" s="8"/>
    </row>
    <row r="41" spans="1:2" ht="18">
      <c r="A41" s="9" t="s">
        <v>18</v>
      </c>
      <c r="B41" s="9"/>
    </row>
    <row r="42" spans="1:2" ht="15">
      <c r="A42" s="22" t="s">
        <v>204</v>
      </c>
      <c r="B42" s="22"/>
    </row>
    <row r="43" spans="1:2" ht="14.25">
      <c r="A43" s="24"/>
      <c r="B43" s="25" t="s">
        <v>205</v>
      </c>
    </row>
    <row r="44" spans="1:5" ht="15">
      <c r="A44" s="26" t="s">
        <v>206</v>
      </c>
      <c r="B44" s="26" t="s">
        <v>207</v>
      </c>
      <c r="C44" s="26" t="s">
        <v>208</v>
      </c>
      <c r="D44" s="26" t="s">
        <v>209</v>
      </c>
      <c r="E44" s="26" t="s">
        <v>210</v>
      </c>
    </row>
    <row r="45" spans="1:5" ht="12.75">
      <c r="A45" s="23" t="s">
        <v>265</v>
      </c>
      <c r="B45" s="4" t="s">
        <v>205</v>
      </c>
      <c r="C45" s="4" t="s">
        <v>276</v>
      </c>
      <c r="D45" s="4" t="s">
        <v>323</v>
      </c>
      <c r="E45" s="27" t="s">
        <v>324</v>
      </c>
    </row>
    <row r="48" spans="1:2" ht="15">
      <c r="A48" s="22" t="s">
        <v>216</v>
      </c>
      <c r="B48" s="22"/>
    </row>
    <row r="49" spans="1:2" ht="14.25">
      <c r="A49" s="24"/>
      <c r="B49" s="25" t="s">
        <v>217</v>
      </c>
    </row>
    <row r="50" spans="1:5" ht="15">
      <c r="A50" s="26" t="s">
        <v>206</v>
      </c>
      <c r="B50" s="26" t="s">
        <v>207</v>
      </c>
      <c r="C50" s="26" t="s">
        <v>208</v>
      </c>
      <c r="D50" s="26" t="s">
        <v>209</v>
      </c>
      <c r="E50" s="26" t="s">
        <v>210</v>
      </c>
    </row>
    <row r="51" spans="1:5" ht="12.75">
      <c r="A51" s="23" t="s">
        <v>272</v>
      </c>
      <c r="B51" s="4" t="s">
        <v>218</v>
      </c>
      <c r="C51" s="4" t="s">
        <v>231</v>
      </c>
      <c r="D51" s="4" t="s">
        <v>177</v>
      </c>
      <c r="E51" s="27" t="s">
        <v>325</v>
      </c>
    </row>
    <row r="53" spans="1:2" ht="14.25">
      <c r="A53" s="24"/>
      <c r="B53" s="25" t="s">
        <v>205</v>
      </c>
    </row>
    <row r="54" spans="1:5" ht="15">
      <c r="A54" s="26" t="s">
        <v>206</v>
      </c>
      <c r="B54" s="26" t="s">
        <v>207</v>
      </c>
      <c r="C54" s="26" t="s">
        <v>208</v>
      </c>
      <c r="D54" s="26" t="s">
        <v>209</v>
      </c>
      <c r="E54" s="26" t="s">
        <v>210</v>
      </c>
    </row>
    <row r="55" spans="1:5" ht="12.75">
      <c r="A55" s="23" t="s">
        <v>309</v>
      </c>
      <c r="B55" s="4" t="s">
        <v>205</v>
      </c>
      <c r="C55" s="4" t="s">
        <v>45</v>
      </c>
      <c r="D55" s="4" t="s">
        <v>326</v>
      </c>
      <c r="E55" s="27" t="s">
        <v>327</v>
      </c>
    </row>
    <row r="56" spans="1:5" ht="12.75">
      <c r="A56" s="23" t="s">
        <v>287</v>
      </c>
      <c r="B56" s="4" t="s">
        <v>205</v>
      </c>
      <c r="C56" s="4" t="s">
        <v>37</v>
      </c>
      <c r="D56" s="4" t="s">
        <v>328</v>
      </c>
      <c r="E56" s="27" t="s">
        <v>329</v>
      </c>
    </row>
    <row r="57" spans="1:5" ht="12.75">
      <c r="A57" s="23" t="s">
        <v>294</v>
      </c>
      <c r="B57" s="4" t="s">
        <v>205</v>
      </c>
      <c r="C57" s="4" t="s">
        <v>37</v>
      </c>
      <c r="D57" s="4" t="s">
        <v>330</v>
      </c>
      <c r="E57" s="27" t="s">
        <v>331</v>
      </c>
    </row>
    <row r="58" spans="1:5" ht="12.75">
      <c r="A58" s="23" t="s">
        <v>283</v>
      </c>
      <c r="B58" s="4" t="s">
        <v>205</v>
      </c>
      <c r="C58" s="4" t="s">
        <v>79</v>
      </c>
      <c r="D58" s="4" t="s">
        <v>332</v>
      </c>
      <c r="E58" s="27" t="s">
        <v>333</v>
      </c>
    </row>
    <row r="59" spans="1:5" ht="12.75">
      <c r="A59" s="23" t="s">
        <v>305</v>
      </c>
      <c r="B59" s="4" t="s">
        <v>205</v>
      </c>
      <c r="C59" s="4" t="s">
        <v>69</v>
      </c>
      <c r="D59" s="4" t="s">
        <v>334</v>
      </c>
      <c r="E59" s="27" t="s">
        <v>335</v>
      </c>
    </row>
    <row r="60" spans="1:5" ht="12.75">
      <c r="A60" s="23" t="s">
        <v>277</v>
      </c>
      <c r="B60" s="4" t="s">
        <v>205</v>
      </c>
      <c r="C60" s="4" t="s">
        <v>239</v>
      </c>
      <c r="D60" s="4" t="s">
        <v>336</v>
      </c>
      <c r="E60" s="27" t="s">
        <v>337</v>
      </c>
    </row>
    <row r="61" spans="1:5" ht="12.75">
      <c r="A61" s="23" t="s">
        <v>300</v>
      </c>
      <c r="B61" s="4" t="s">
        <v>205</v>
      </c>
      <c r="C61" s="4" t="s">
        <v>33</v>
      </c>
      <c r="D61" s="4" t="s">
        <v>221</v>
      </c>
      <c r="E61" s="27" t="s">
        <v>338</v>
      </c>
    </row>
    <row r="63" spans="1:2" ht="14.25">
      <c r="A63" s="24"/>
      <c r="B63" s="25" t="s">
        <v>259</v>
      </c>
    </row>
    <row r="64" spans="1:5" ht="15">
      <c r="A64" s="26" t="s">
        <v>206</v>
      </c>
      <c r="B64" s="26" t="s">
        <v>207</v>
      </c>
      <c r="C64" s="26" t="s">
        <v>208</v>
      </c>
      <c r="D64" s="26" t="s">
        <v>209</v>
      </c>
      <c r="E64" s="26" t="s">
        <v>210</v>
      </c>
    </row>
    <row r="65" spans="1:5" ht="12.75">
      <c r="A65" s="23" t="s">
        <v>318</v>
      </c>
      <c r="B65" s="4" t="s">
        <v>339</v>
      </c>
      <c r="C65" s="4" t="s">
        <v>93</v>
      </c>
      <c r="D65" s="4" t="s">
        <v>244</v>
      </c>
      <c r="E65" s="27" t="s">
        <v>340</v>
      </c>
    </row>
  </sheetData>
  <sheetProtection/>
  <mergeCells count="22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30:T30"/>
    <mergeCell ref="S3:S4"/>
    <mergeCell ref="T3:T4"/>
    <mergeCell ref="U3:U4"/>
    <mergeCell ref="A5:T5"/>
    <mergeCell ref="A8:T8"/>
    <mergeCell ref="A11:T11"/>
    <mergeCell ref="A14:T14"/>
    <mergeCell ref="A17:T17"/>
    <mergeCell ref="A21:T21"/>
    <mergeCell ref="A24:T24"/>
    <mergeCell ref="A27:T2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6"/>
  <sheetViews>
    <sheetView zoomScale="80" zoomScaleNormal="80" zoomScalePageLayoutView="0" workbookViewId="0" topLeftCell="A49">
      <selection activeCell="A47" sqref="A47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7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6.125" style="4" bestFit="1" customWidth="1"/>
    <col min="22" max="16384" width="9.125" style="3" customWidth="1"/>
  </cols>
  <sheetData>
    <row r="1" spans="1:21" s="2" customFormat="1" ht="28.5" customHeight="1">
      <c r="A1" s="47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s="1" customFormat="1" ht="12.75" customHeight="1">
      <c r="A3" s="40" t="s">
        <v>0</v>
      </c>
      <c r="B3" s="42" t="s">
        <v>10</v>
      </c>
      <c r="C3" s="42" t="s">
        <v>11</v>
      </c>
      <c r="D3" s="44" t="s">
        <v>20</v>
      </c>
      <c r="E3" s="44" t="s">
        <v>7</v>
      </c>
      <c r="F3" s="44" t="s">
        <v>12</v>
      </c>
      <c r="G3" s="44" t="s">
        <v>21</v>
      </c>
      <c r="H3" s="44"/>
      <c r="I3" s="44"/>
      <c r="J3" s="44"/>
      <c r="K3" s="44" t="s">
        <v>22</v>
      </c>
      <c r="L3" s="44"/>
      <c r="M3" s="44"/>
      <c r="N3" s="44"/>
      <c r="O3" s="44" t="s">
        <v>23</v>
      </c>
      <c r="P3" s="44"/>
      <c r="Q3" s="44"/>
      <c r="R3" s="44"/>
      <c r="S3" s="44" t="s">
        <v>4</v>
      </c>
      <c r="T3" s="44" t="s">
        <v>6</v>
      </c>
      <c r="U3" s="32" t="s">
        <v>5</v>
      </c>
    </row>
    <row r="4" spans="1:21" s="1" customFormat="1" ht="21" customHeight="1" thickBot="1">
      <c r="A4" s="41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3"/>
      <c r="T4" s="43"/>
      <c r="U4" s="33"/>
    </row>
    <row r="5" spans="1:20" ht="15">
      <c r="A5" s="45" t="s">
        <v>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1" ht="12.75">
      <c r="A6" s="10" t="s">
        <v>26</v>
      </c>
      <c r="B6" s="10" t="s">
        <v>27</v>
      </c>
      <c r="C6" s="10" t="s">
        <v>28</v>
      </c>
      <c r="D6" s="10" t="str">
        <f>"0,9369"</f>
        <v>0,9369</v>
      </c>
      <c r="E6" s="10" t="s">
        <v>29</v>
      </c>
      <c r="F6" s="10" t="s">
        <v>30</v>
      </c>
      <c r="G6" s="11" t="s">
        <v>31</v>
      </c>
      <c r="H6" s="11" t="s">
        <v>32</v>
      </c>
      <c r="I6" s="12" t="s">
        <v>33</v>
      </c>
      <c r="J6" s="12"/>
      <c r="K6" s="11" t="s">
        <v>34</v>
      </c>
      <c r="L6" s="11" t="s">
        <v>35</v>
      </c>
      <c r="M6" s="12" t="s">
        <v>36</v>
      </c>
      <c r="N6" s="12"/>
      <c r="O6" s="11" t="s">
        <v>37</v>
      </c>
      <c r="P6" s="11" t="s">
        <v>33</v>
      </c>
      <c r="Q6" s="11" t="s">
        <v>38</v>
      </c>
      <c r="R6" s="12"/>
      <c r="S6" s="10" t="str">
        <f>"240,0"</f>
        <v>240,0</v>
      </c>
      <c r="T6" s="11" t="str">
        <f>"224,8560"</f>
        <v>224,8560</v>
      </c>
      <c r="U6" s="10" t="s">
        <v>39</v>
      </c>
    </row>
    <row r="8" spans="1:20" ht="15">
      <c r="A8" s="48" t="s">
        <v>40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1" ht="12.75">
      <c r="A9" s="10" t="s">
        <v>42</v>
      </c>
      <c r="B9" s="10" t="s">
        <v>43</v>
      </c>
      <c r="C9" s="10" t="s">
        <v>44</v>
      </c>
      <c r="D9" s="10" t="str">
        <f>"0,7233"</f>
        <v>0,7233</v>
      </c>
      <c r="E9" s="10" t="s">
        <v>29</v>
      </c>
      <c r="F9" s="10" t="s">
        <v>30</v>
      </c>
      <c r="G9" s="11" t="s">
        <v>45</v>
      </c>
      <c r="H9" s="11" t="s">
        <v>46</v>
      </c>
      <c r="I9" s="11" t="s">
        <v>47</v>
      </c>
      <c r="J9" s="12"/>
      <c r="K9" s="11" t="s">
        <v>48</v>
      </c>
      <c r="L9" s="11" t="s">
        <v>49</v>
      </c>
      <c r="M9" s="12" t="s">
        <v>50</v>
      </c>
      <c r="N9" s="12"/>
      <c r="O9" s="11" t="s">
        <v>51</v>
      </c>
      <c r="P9" s="11" t="s">
        <v>45</v>
      </c>
      <c r="Q9" s="11" t="s">
        <v>46</v>
      </c>
      <c r="R9" s="12"/>
      <c r="S9" s="10" t="str">
        <f>"335,0"</f>
        <v>335,0</v>
      </c>
      <c r="T9" s="11" t="str">
        <f>"242,3222"</f>
        <v>242,3222</v>
      </c>
      <c r="U9" s="10" t="s">
        <v>39</v>
      </c>
    </row>
    <row r="11" spans="1:20" ht="15">
      <c r="A11" s="48" t="s">
        <v>52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1" ht="12.75">
      <c r="A12" s="10" t="s">
        <v>54</v>
      </c>
      <c r="B12" s="10" t="s">
        <v>55</v>
      </c>
      <c r="C12" s="10" t="s">
        <v>56</v>
      </c>
      <c r="D12" s="10" t="str">
        <f>"1,1526"</f>
        <v>1,1526</v>
      </c>
      <c r="E12" s="10" t="s">
        <v>57</v>
      </c>
      <c r="F12" s="10" t="s">
        <v>58</v>
      </c>
      <c r="G12" s="11" t="s">
        <v>35</v>
      </c>
      <c r="H12" s="11" t="s">
        <v>59</v>
      </c>
      <c r="I12" s="12" t="s">
        <v>60</v>
      </c>
      <c r="J12" s="12"/>
      <c r="K12" s="11" t="s">
        <v>34</v>
      </c>
      <c r="L12" s="11" t="s">
        <v>61</v>
      </c>
      <c r="M12" s="11" t="s">
        <v>35</v>
      </c>
      <c r="N12" s="12"/>
      <c r="O12" s="11" t="s">
        <v>49</v>
      </c>
      <c r="P12" s="11" t="s">
        <v>50</v>
      </c>
      <c r="Q12" s="11" t="s">
        <v>62</v>
      </c>
      <c r="R12" s="12"/>
      <c r="S12" s="10" t="str">
        <f>"165,0"</f>
        <v>165,0</v>
      </c>
      <c r="T12" s="11" t="str">
        <f>"233,9202"</f>
        <v>233,9202</v>
      </c>
      <c r="U12" s="10" t="s">
        <v>63</v>
      </c>
    </row>
    <row r="14" spans="1:20" ht="15">
      <c r="A14" s="48" t="s">
        <v>24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1" ht="12.75">
      <c r="A15" s="10" t="s">
        <v>65</v>
      </c>
      <c r="B15" s="10" t="s">
        <v>66</v>
      </c>
      <c r="C15" s="10" t="s">
        <v>67</v>
      </c>
      <c r="D15" s="10" t="str">
        <f>"0,8924"</f>
        <v>0,8924</v>
      </c>
      <c r="E15" s="10" t="s">
        <v>68</v>
      </c>
      <c r="F15" s="10" t="s">
        <v>58</v>
      </c>
      <c r="G15" s="11" t="s">
        <v>69</v>
      </c>
      <c r="H15" s="11" t="s">
        <v>51</v>
      </c>
      <c r="I15" s="11" t="s">
        <v>46</v>
      </c>
      <c r="J15" s="12"/>
      <c r="K15" s="12" t="s">
        <v>38</v>
      </c>
      <c r="L15" s="11" t="s">
        <v>38</v>
      </c>
      <c r="M15" s="12" t="s">
        <v>69</v>
      </c>
      <c r="N15" s="12"/>
      <c r="O15" s="11" t="s">
        <v>70</v>
      </c>
      <c r="P15" s="11" t="s">
        <v>71</v>
      </c>
      <c r="Q15" s="12"/>
      <c r="R15" s="12"/>
      <c r="S15" s="10" t="str">
        <f>"395,0"</f>
        <v>395,0</v>
      </c>
      <c r="T15" s="11" t="str">
        <f>"352,4980"</f>
        <v>352,4980</v>
      </c>
      <c r="U15" s="10" t="s">
        <v>72</v>
      </c>
    </row>
    <row r="17" spans="1:20" ht="15">
      <c r="A17" s="48" t="s">
        <v>73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1" ht="12.75">
      <c r="A18" s="13" t="s">
        <v>75</v>
      </c>
      <c r="B18" s="13" t="s">
        <v>76</v>
      </c>
      <c r="C18" s="13" t="s">
        <v>77</v>
      </c>
      <c r="D18" s="13" t="str">
        <f>"0,7408"</f>
        <v>0,7408</v>
      </c>
      <c r="E18" s="13" t="s">
        <v>57</v>
      </c>
      <c r="F18" s="13" t="s">
        <v>58</v>
      </c>
      <c r="G18" s="14" t="s">
        <v>32</v>
      </c>
      <c r="H18" s="14" t="s">
        <v>38</v>
      </c>
      <c r="I18" s="14" t="s">
        <v>69</v>
      </c>
      <c r="J18" s="15"/>
      <c r="K18" s="14" t="s">
        <v>49</v>
      </c>
      <c r="L18" s="14" t="s">
        <v>78</v>
      </c>
      <c r="M18" s="14" t="s">
        <v>79</v>
      </c>
      <c r="N18" s="15"/>
      <c r="O18" s="14" t="s">
        <v>45</v>
      </c>
      <c r="P18" s="14" t="s">
        <v>46</v>
      </c>
      <c r="Q18" s="14" t="s">
        <v>47</v>
      </c>
      <c r="R18" s="15"/>
      <c r="S18" s="13" t="str">
        <f>"327,5"</f>
        <v>327,5</v>
      </c>
      <c r="T18" s="14" t="str">
        <f>"245,0381"</f>
        <v>245,0381</v>
      </c>
      <c r="U18" s="13" t="s">
        <v>63</v>
      </c>
    </row>
    <row r="19" spans="1:21" ht="12.75">
      <c r="A19" s="16" t="s">
        <v>81</v>
      </c>
      <c r="B19" s="16" t="s">
        <v>82</v>
      </c>
      <c r="C19" s="16" t="s">
        <v>83</v>
      </c>
      <c r="D19" s="16" t="str">
        <f>"0,7439"</f>
        <v>0,7439</v>
      </c>
      <c r="E19" s="16" t="s">
        <v>84</v>
      </c>
      <c r="F19" s="16" t="s">
        <v>85</v>
      </c>
      <c r="G19" s="17" t="s">
        <v>46</v>
      </c>
      <c r="H19" s="18" t="s">
        <v>46</v>
      </c>
      <c r="I19" s="17" t="s">
        <v>47</v>
      </c>
      <c r="J19" s="17"/>
      <c r="K19" s="17" t="s">
        <v>37</v>
      </c>
      <c r="L19" s="17" t="s">
        <v>37</v>
      </c>
      <c r="M19" s="18" t="s">
        <v>37</v>
      </c>
      <c r="N19" s="17"/>
      <c r="O19" s="18" t="s">
        <v>71</v>
      </c>
      <c r="P19" s="17" t="s">
        <v>86</v>
      </c>
      <c r="Q19" s="18" t="s">
        <v>86</v>
      </c>
      <c r="R19" s="17"/>
      <c r="S19" s="16" t="str">
        <f>"390,0"</f>
        <v>390,0</v>
      </c>
      <c r="T19" s="18" t="str">
        <f>"290,1210"</f>
        <v>290,1210</v>
      </c>
      <c r="U19" s="16" t="s">
        <v>87</v>
      </c>
    </row>
    <row r="21" spans="1:20" ht="15">
      <c r="A21" s="48" t="s">
        <v>40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1" ht="12.75">
      <c r="A22" s="13" t="s">
        <v>89</v>
      </c>
      <c r="B22" s="13" t="s">
        <v>90</v>
      </c>
      <c r="C22" s="13" t="s">
        <v>91</v>
      </c>
      <c r="D22" s="13" t="str">
        <f>"0,6645"</f>
        <v>0,6645</v>
      </c>
      <c r="E22" s="13" t="s">
        <v>84</v>
      </c>
      <c r="F22" s="13" t="s">
        <v>92</v>
      </c>
      <c r="G22" s="14" t="s">
        <v>46</v>
      </c>
      <c r="H22" s="14" t="s">
        <v>93</v>
      </c>
      <c r="I22" s="15" t="s">
        <v>70</v>
      </c>
      <c r="J22" s="15"/>
      <c r="K22" s="14" t="s">
        <v>33</v>
      </c>
      <c r="L22" s="14" t="s">
        <v>94</v>
      </c>
      <c r="M22" s="14" t="s">
        <v>95</v>
      </c>
      <c r="N22" s="15"/>
      <c r="O22" s="14" t="s">
        <v>96</v>
      </c>
      <c r="P22" s="14" t="s">
        <v>97</v>
      </c>
      <c r="Q22" s="15" t="s">
        <v>98</v>
      </c>
      <c r="R22" s="15"/>
      <c r="S22" s="13" t="str">
        <f>"442,5"</f>
        <v>442,5</v>
      </c>
      <c r="T22" s="14" t="str">
        <f>"317,5645"</f>
        <v>317,5645</v>
      </c>
      <c r="U22" s="13" t="s">
        <v>99</v>
      </c>
    </row>
    <row r="23" spans="1:21" ht="12.75">
      <c r="A23" s="19" t="s">
        <v>101</v>
      </c>
      <c r="B23" s="19" t="s">
        <v>102</v>
      </c>
      <c r="C23" s="19" t="s">
        <v>103</v>
      </c>
      <c r="D23" s="19" t="str">
        <f>"0,6716"</f>
        <v>0,6716</v>
      </c>
      <c r="E23" s="19" t="s">
        <v>104</v>
      </c>
      <c r="F23" s="19" t="s">
        <v>105</v>
      </c>
      <c r="G23" s="20" t="s">
        <v>45</v>
      </c>
      <c r="H23" s="20" t="s">
        <v>46</v>
      </c>
      <c r="I23" s="20" t="s">
        <v>93</v>
      </c>
      <c r="J23" s="21"/>
      <c r="K23" s="20" t="s">
        <v>49</v>
      </c>
      <c r="L23" s="20" t="s">
        <v>106</v>
      </c>
      <c r="M23" s="21" t="s">
        <v>31</v>
      </c>
      <c r="N23" s="21"/>
      <c r="O23" s="20" t="s">
        <v>107</v>
      </c>
      <c r="P23" s="21" t="s">
        <v>98</v>
      </c>
      <c r="Q23" s="20" t="s">
        <v>98</v>
      </c>
      <c r="R23" s="21"/>
      <c r="S23" s="19" t="str">
        <f>"420,0"</f>
        <v>420,0</v>
      </c>
      <c r="T23" s="20" t="str">
        <f>"304,6378"</f>
        <v>304,6378</v>
      </c>
      <c r="U23" s="19" t="s">
        <v>108</v>
      </c>
    </row>
    <row r="24" spans="1:21" ht="12.75">
      <c r="A24" s="19" t="s">
        <v>110</v>
      </c>
      <c r="B24" s="19" t="s">
        <v>111</v>
      </c>
      <c r="C24" s="19" t="s">
        <v>91</v>
      </c>
      <c r="D24" s="19" t="str">
        <f>"0,6645"</f>
        <v>0,6645</v>
      </c>
      <c r="E24" s="19" t="s">
        <v>84</v>
      </c>
      <c r="F24" s="19" t="s">
        <v>112</v>
      </c>
      <c r="G24" s="21" t="s">
        <v>33</v>
      </c>
      <c r="H24" s="21" t="s">
        <v>33</v>
      </c>
      <c r="I24" s="21" t="s">
        <v>33</v>
      </c>
      <c r="J24" s="21"/>
      <c r="K24" s="21" t="s">
        <v>69</v>
      </c>
      <c r="L24" s="20" t="s">
        <v>69</v>
      </c>
      <c r="M24" s="21" t="s">
        <v>113</v>
      </c>
      <c r="N24" s="21"/>
      <c r="O24" s="21"/>
      <c r="P24" s="21"/>
      <c r="Q24" s="21"/>
      <c r="R24" s="21"/>
      <c r="S24" s="19" t="str">
        <f>"0.00"</f>
        <v>0.00</v>
      </c>
      <c r="T24" s="20" t="str">
        <f>"0,0000"</f>
        <v>0,0000</v>
      </c>
      <c r="U24" s="19" t="s">
        <v>87</v>
      </c>
    </row>
    <row r="25" spans="1:21" ht="12.75">
      <c r="A25" s="16" t="s">
        <v>114</v>
      </c>
      <c r="B25" s="16" t="s">
        <v>115</v>
      </c>
      <c r="C25" s="16" t="s">
        <v>116</v>
      </c>
      <c r="D25" s="16" t="str">
        <f>"0,6723"</f>
        <v>0,6723</v>
      </c>
      <c r="E25" s="16" t="s">
        <v>84</v>
      </c>
      <c r="F25" s="16" t="s">
        <v>85</v>
      </c>
      <c r="G25" s="17" t="s">
        <v>86</v>
      </c>
      <c r="H25" s="17" t="s">
        <v>86</v>
      </c>
      <c r="I25" s="17" t="s">
        <v>86</v>
      </c>
      <c r="J25" s="17"/>
      <c r="K25" s="18" t="s">
        <v>33</v>
      </c>
      <c r="L25" s="18" t="s">
        <v>69</v>
      </c>
      <c r="M25" s="18" t="s">
        <v>117</v>
      </c>
      <c r="N25" s="17"/>
      <c r="O25" s="18" t="s">
        <v>86</v>
      </c>
      <c r="P25" s="17" t="s">
        <v>96</v>
      </c>
      <c r="Q25" s="17" t="s">
        <v>96</v>
      </c>
      <c r="R25" s="17"/>
      <c r="S25" s="16" t="str">
        <f>"0.00"</f>
        <v>0.00</v>
      </c>
      <c r="T25" s="18" t="str">
        <f>"0,0000"</f>
        <v>0,0000</v>
      </c>
      <c r="U25" s="16" t="s">
        <v>87</v>
      </c>
    </row>
    <row r="27" spans="1:20" ht="15">
      <c r="A27" s="48" t="s">
        <v>118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1" ht="12.75">
      <c r="A28" s="13" t="s">
        <v>120</v>
      </c>
      <c r="B28" s="13" t="s">
        <v>121</v>
      </c>
      <c r="C28" s="13" t="s">
        <v>122</v>
      </c>
      <c r="D28" s="13" t="str">
        <f>"0,6193"</f>
        <v>0,6193</v>
      </c>
      <c r="E28" s="13" t="s">
        <v>104</v>
      </c>
      <c r="F28" s="13" t="s">
        <v>105</v>
      </c>
      <c r="G28" s="14" t="s">
        <v>93</v>
      </c>
      <c r="H28" s="14" t="s">
        <v>70</v>
      </c>
      <c r="I28" s="14" t="s">
        <v>71</v>
      </c>
      <c r="J28" s="15"/>
      <c r="K28" s="14" t="s">
        <v>37</v>
      </c>
      <c r="L28" s="14" t="s">
        <v>32</v>
      </c>
      <c r="M28" s="15" t="s">
        <v>123</v>
      </c>
      <c r="N28" s="15"/>
      <c r="O28" s="14" t="s">
        <v>98</v>
      </c>
      <c r="P28" s="14" t="s">
        <v>124</v>
      </c>
      <c r="Q28" s="15" t="s">
        <v>125</v>
      </c>
      <c r="R28" s="15"/>
      <c r="S28" s="13" t="str">
        <f>"465,0"</f>
        <v>465,0</v>
      </c>
      <c r="T28" s="14" t="str">
        <f>"325,4112"</f>
        <v>325,4112</v>
      </c>
      <c r="U28" s="13" t="s">
        <v>108</v>
      </c>
    </row>
    <row r="29" spans="1:21" ht="12.75">
      <c r="A29" s="19" t="s">
        <v>127</v>
      </c>
      <c r="B29" s="19" t="s">
        <v>128</v>
      </c>
      <c r="C29" s="19" t="s">
        <v>129</v>
      </c>
      <c r="D29" s="19" t="str">
        <f>"0,6329"</f>
        <v>0,6329</v>
      </c>
      <c r="E29" s="19" t="s">
        <v>104</v>
      </c>
      <c r="F29" s="19" t="s">
        <v>105</v>
      </c>
      <c r="G29" s="20" t="s">
        <v>70</v>
      </c>
      <c r="H29" s="20" t="s">
        <v>71</v>
      </c>
      <c r="I29" s="21" t="s">
        <v>130</v>
      </c>
      <c r="J29" s="21"/>
      <c r="K29" s="20" t="s">
        <v>32</v>
      </c>
      <c r="L29" s="20" t="s">
        <v>33</v>
      </c>
      <c r="M29" s="21" t="s">
        <v>38</v>
      </c>
      <c r="N29" s="21"/>
      <c r="O29" s="20" t="s">
        <v>130</v>
      </c>
      <c r="P29" s="20" t="s">
        <v>107</v>
      </c>
      <c r="Q29" s="20" t="s">
        <v>98</v>
      </c>
      <c r="R29" s="21"/>
      <c r="S29" s="19" t="str">
        <f>"460,0"</f>
        <v>460,0</v>
      </c>
      <c r="T29" s="20" t="str">
        <f>"328,9814"</f>
        <v>328,9814</v>
      </c>
      <c r="U29" s="19" t="s">
        <v>131</v>
      </c>
    </row>
    <row r="30" spans="1:21" ht="12.75">
      <c r="A30" s="16" t="s">
        <v>133</v>
      </c>
      <c r="B30" s="16" t="s">
        <v>134</v>
      </c>
      <c r="C30" s="16" t="s">
        <v>135</v>
      </c>
      <c r="D30" s="16" t="str">
        <f>"0,6268"</f>
        <v>0,6268</v>
      </c>
      <c r="E30" s="16" t="s">
        <v>84</v>
      </c>
      <c r="F30" s="16" t="s">
        <v>58</v>
      </c>
      <c r="G30" s="18" t="s">
        <v>96</v>
      </c>
      <c r="H30" s="18" t="s">
        <v>97</v>
      </c>
      <c r="I30" s="18" t="s">
        <v>98</v>
      </c>
      <c r="J30" s="17"/>
      <c r="K30" s="18" t="s">
        <v>70</v>
      </c>
      <c r="L30" s="18" t="s">
        <v>71</v>
      </c>
      <c r="M30" s="17" t="s">
        <v>136</v>
      </c>
      <c r="N30" s="17"/>
      <c r="O30" s="18" t="s">
        <v>98</v>
      </c>
      <c r="P30" s="18" t="s">
        <v>137</v>
      </c>
      <c r="Q30" s="18" t="s">
        <v>138</v>
      </c>
      <c r="R30" s="17"/>
      <c r="S30" s="16" t="str">
        <f>"585,0"</f>
        <v>585,0</v>
      </c>
      <c r="T30" s="18" t="str">
        <f>"366,6780"</f>
        <v>366,6780</v>
      </c>
      <c r="U30" s="16" t="s">
        <v>139</v>
      </c>
    </row>
    <row r="32" spans="1:20" ht="15">
      <c r="A32" s="48" t="s">
        <v>140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1" ht="12.75">
      <c r="A33" s="13" t="s">
        <v>142</v>
      </c>
      <c r="B33" s="13" t="s">
        <v>143</v>
      </c>
      <c r="C33" s="13" t="s">
        <v>144</v>
      </c>
      <c r="D33" s="13" t="str">
        <f>"0,5873"</f>
        <v>0,5873</v>
      </c>
      <c r="E33" s="13" t="s">
        <v>84</v>
      </c>
      <c r="F33" s="13" t="s">
        <v>145</v>
      </c>
      <c r="G33" s="14" t="s">
        <v>146</v>
      </c>
      <c r="H33" s="14" t="s">
        <v>147</v>
      </c>
      <c r="I33" s="14" t="s">
        <v>71</v>
      </c>
      <c r="J33" s="15"/>
      <c r="K33" s="14" t="s">
        <v>69</v>
      </c>
      <c r="L33" s="14" t="s">
        <v>113</v>
      </c>
      <c r="M33" s="14" t="s">
        <v>148</v>
      </c>
      <c r="N33" s="15"/>
      <c r="O33" s="14" t="s">
        <v>107</v>
      </c>
      <c r="P33" s="14" t="s">
        <v>149</v>
      </c>
      <c r="Q33" s="14" t="s">
        <v>98</v>
      </c>
      <c r="R33" s="15"/>
      <c r="S33" s="13" t="str">
        <f>"482,5"</f>
        <v>482,5</v>
      </c>
      <c r="T33" s="14" t="str">
        <f>"289,0397"</f>
        <v>289,0397</v>
      </c>
      <c r="U33" s="13" t="s">
        <v>150</v>
      </c>
    </row>
    <row r="34" spans="1:21" ht="12.75">
      <c r="A34" s="19" t="s">
        <v>152</v>
      </c>
      <c r="B34" s="19" t="s">
        <v>153</v>
      </c>
      <c r="C34" s="19" t="s">
        <v>154</v>
      </c>
      <c r="D34" s="19" t="str">
        <f>"0,5910"</f>
        <v>0,5910</v>
      </c>
      <c r="E34" s="19" t="s">
        <v>29</v>
      </c>
      <c r="F34" s="19" t="s">
        <v>30</v>
      </c>
      <c r="G34" s="20" t="s">
        <v>86</v>
      </c>
      <c r="H34" s="20" t="s">
        <v>96</v>
      </c>
      <c r="I34" s="20" t="s">
        <v>97</v>
      </c>
      <c r="J34" s="21"/>
      <c r="K34" s="20" t="s">
        <v>45</v>
      </c>
      <c r="L34" s="20" t="s">
        <v>47</v>
      </c>
      <c r="M34" s="20" t="s">
        <v>93</v>
      </c>
      <c r="N34" s="21"/>
      <c r="O34" s="20" t="s">
        <v>97</v>
      </c>
      <c r="P34" s="20" t="s">
        <v>137</v>
      </c>
      <c r="Q34" s="20" t="s">
        <v>155</v>
      </c>
      <c r="R34" s="21"/>
      <c r="S34" s="19" t="str">
        <f>"550,0"</f>
        <v>550,0</v>
      </c>
      <c r="T34" s="20" t="str">
        <f>"325,0500"</f>
        <v>325,0500</v>
      </c>
      <c r="U34" s="19" t="s">
        <v>39</v>
      </c>
    </row>
    <row r="35" spans="1:21" ht="12.75">
      <c r="A35" s="19" t="s">
        <v>157</v>
      </c>
      <c r="B35" s="19" t="s">
        <v>158</v>
      </c>
      <c r="C35" s="19" t="s">
        <v>159</v>
      </c>
      <c r="D35" s="19" t="str">
        <f>"0,5897"</f>
        <v>0,5897</v>
      </c>
      <c r="E35" s="19" t="s">
        <v>29</v>
      </c>
      <c r="F35" s="19" t="s">
        <v>30</v>
      </c>
      <c r="G35" s="20" t="s">
        <v>86</v>
      </c>
      <c r="H35" s="20" t="s">
        <v>97</v>
      </c>
      <c r="I35" s="20" t="s">
        <v>98</v>
      </c>
      <c r="J35" s="21"/>
      <c r="K35" s="20" t="s">
        <v>46</v>
      </c>
      <c r="L35" s="21" t="s">
        <v>160</v>
      </c>
      <c r="M35" s="21" t="s">
        <v>160</v>
      </c>
      <c r="N35" s="21"/>
      <c r="O35" s="20" t="s">
        <v>96</v>
      </c>
      <c r="P35" s="20" t="s">
        <v>137</v>
      </c>
      <c r="Q35" s="21" t="s">
        <v>125</v>
      </c>
      <c r="R35" s="21"/>
      <c r="S35" s="19" t="str">
        <f>"542,5"</f>
        <v>542,5</v>
      </c>
      <c r="T35" s="20" t="str">
        <f>"319,9122"</f>
        <v>319,9122</v>
      </c>
      <c r="U35" s="19" t="s">
        <v>39</v>
      </c>
    </row>
    <row r="36" spans="1:21" ht="12.75">
      <c r="A36" s="16" t="s">
        <v>162</v>
      </c>
      <c r="B36" s="16" t="s">
        <v>163</v>
      </c>
      <c r="C36" s="16" t="s">
        <v>164</v>
      </c>
      <c r="D36" s="16" t="str">
        <f>"0,6036"</f>
        <v>0,6036</v>
      </c>
      <c r="E36" s="16" t="s">
        <v>84</v>
      </c>
      <c r="F36" s="16" t="s">
        <v>165</v>
      </c>
      <c r="G36" s="18" t="s">
        <v>70</v>
      </c>
      <c r="H36" s="17" t="s">
        <v>71</v>
      </c>
      <c r="I36" s="17" t="s">
        <v>71</v>
      </c>
      <c r="J36" s="17"/>
      <c r="K36" s="18" t="s">
        <v>117</v>
      </c>
      <c r="L36" s="18" t="s">
        <v>51</v>
      </c>
      <c r="M36" s="17" t="s">
        <v>45</v>
      </c>
      <c r="N36" s="17"/>
      <c r="O36" s="18" t="s">
        <v>86</v>
      </c>
      <c r="P36" s="18" t="s">
        <v>96</v>
      </c>
      <c r="Q36" s="17" t="s">
        <v>107</v>
      </c>
      <c r="R36" s="17"/>
      <c r="S36" s="16" t="str">
        <f>"450,0"</f>
        <v>450,0</v>
      </c>
      <c r="T36" s="18" t="str">
        <f>"328,3886"</f>
        <v>328,3886</v>
      </c>
      <c r="U36" s="16" t="s">
        <v>166</v>
      </c>
    </row>
    <row r="38" spans="1:20" ht="15">
      <c r="A38" s="48" t="s">
        <v>167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1:21" ht="12.75">
      <c r="A39" s="13" t="s">
        <v>169</v>
      </c>
      <c r="B39" s="13" t="s">
        <v>170</v>
      </c>
      <c r="C39" s="13" t="s">
        <v>171</v>
      </c>
      <c r="D39" s="13" t="str">
        <f>"0,5619"</f>
        <v>0,5619</v>
      </c>
      <c r="E39" s="13" t="s">
        <v>104</v>
      </c>
      <c r="F39" s="13" t="s">
        <v>105</v>
      </c>
      <c r="G39" s="15" t="s">
        <v>172</v>
      </c>
      <c r="H39" s="14" t="s">
        <v>172</v>
      </c>
      <c r="I39" s="14" t="s">
        <v>130</v>
      </c>
      <c r="J39" s="15"/>
      <c r="K39" s="14" t="s">
        <v>51</v>
      </c>
      <c r="L39" s="14" t="s">
        <v>45</v>
      </c>
      <c r="M39" s="15" t="s">
        <v>46</v>
      </c>
      <c r="N39" s="15"/>
      <c r="O39" s="14" t="s">
        <v>98</v>
      </c>
      <c r="P39" s="15" t="s">
        <v>137</v>
      </c>
      <c r="Q39" s="15" t="s">
        <v>137</v>
      </c>
      <c r="R39" s="15"/>
      <c r="S39" s="13" t="str">
        <f>"497,5"</f>
        <v>497,5</v>
      </c>
      <c r="T39" s="14" t="str">
        <f>"296,3180"</f>
        <v>296,3180</v>
      </c>
      <c r="U39" s="13" t="s">
        <v>131</v>
      </c>
    </row>
    <row r="40" spans="1:21" ht="12.75">
      <c r="A40" s="16" t="s">
        <v>174</v>
      </c>
      <c r="B40" s="16" t="s">
        <v>175</v>
      </c>
      <c r="C40" s="16" t="s">
        <v>176</v>
      </c>
      <c r="D40" s="16" t="str">
        <f>"0,5639"</f>
        <v>0,5639</v>
      </c>
      <c r="E40" s="16" t="s">
        <v>29</v>
      </c>
      <c r="F40" s="16" t="s">
        <v>30</v>
      </c>
      <c r="G40" s="18" t="s">
        <v>86</v>
      </c>
      <c r="H40" s="18" t="s">
        <v>177</v>
      </c>
      <c r="I40" s="18" t="s">
        <v>178</v>
      </c>
      <c r="J40" s="17"/>
      <c r="K40" s="18" t="s">
        <v>51</v>
      </c>
      <c r="L40" s="18" t="s">
        <v>46</v>
      </c>
      <c r="M40" s="17" t="s">
        <v>179</v>
      </c>
      <c r="N40" s="17"/>
      <c r="O40" s="18" t="s">
        <v>155</v>
      </c>
      <c r="P40" s="18" t="s">
        <v>180</v>
      </c>
      <c r="Q40" s="17" t="s">
        <v>181</v>
      </c>
      <c r="R40" s="17"/>
      <c r="S40" s="16" t="str">
        <f>"557,5"</f>
        <v>557,5</v>
      </c>
      <c r="T40" s="18" t="str">
        <f>"314,3742"</f>
        <v>314,3742</v>
      </c>
      <c r="U40" s="16" t="s">
        <v>39</v>
      </c>
    </row>
    <row r="42" spans="1:20" ht="15">
      <c r="A42" s="48" t="s">
        <v>182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</row>
    <row r="43" spans="1:21" ht="12.75">
      <c r="A43" s="13" t="s">
        <v>184</v>
      </c>
      <c r="B43" s="13" t="s">
        <v>185</v>
      </c>
      <c r="C43" s="13" t="s">
        <v>186</v>
      </c>
      <c r="D43" s="13" t="str">
        <f>"0,5410"</f>
        <v>0,5410</v>
      </c>
      <c r="E43" s="13" t="s">
        <v>29</v>
      </c>
      <c r="F43" s="13" t="s">
        <v>30</v>
      </c>
      <c r="G43" s="14" t="s">
        <v>86</v>
      </c>
      <c r="H43" s="14" t="s">
        <v>96</v>
      </c>
      <c r="I43" s="14" t="s">
        <v>149</v>
      </c>
      <c r="J43" s="15"/>
      <c r="K43" s="14" t="s">
        <v>69</v>
      </c>
      <c r="L43" s="14" t="s">
        <v>51</v>
      </c>
      <c r="M43" s="15"/>
      <c r="N43" s="15"/>
      <c r="O43" s="14" t="s">
        <v>187</v>
      </c>
      <c r="P43" s="14" t="s">
        <v>188</v>
      </c>
      <c r="Q43" s="14" t="s">
        <v>180</v>
      </c>
      <c r="R43" s="15"/>
      <c r="S43" s="13" t="str">
        <f>"550,0"</f>
        <v>550,0</v>
      </c>
      <c r="T43" s="14" t="str">
        <f>"297,5500"</f>
        <v>297,5500</v>
      </c>
      <c r="U43" s="13" t="s">
        <v>39</v>
      </c>
    </row>
    <row r="44" spans="1:21" ht="12.75">
      <c r="A44" s="16" t="s">
        <v>190</v>
      </c>
      <c r="B44" s="16" t="s">
        <v>191</v>
      </c>
      <c r="C44" s="16" t="s">
        <v>192</v>
      </c>
      <c r="D44" s="16" t="str">
        <f>"0,5365"</f>
        <v>0,5365</v>
      </c>
      <c r="E44" s="16" t="s">
        <v>68</v>
      </c>
      <c r="F44" s="16" t="s">
        <v>58</v>
      </c>
      <c r="G44" s="18" t="s">
        <v>107</v>
      </c>
      <c r="H44" s="18" t="s">
        <v>149</v>
      </c>
      <c r="I44" s="17" t="s">
        <v>98</v>
      </c>
      <c r="J44" s="17"/>
      <c r="K44" s="18" t="s">
        <v>51</v>
      </c>
      <c r="L44" s="18" t="s">
        <v>45</v>
      </c>
      <c r="M44" s="17" t="s">
        <v>46</v>
      </c>
      <c r="N44" s="17"/>
      <c r="O44" s="18" t="s">
        <v>124</v>
      </c>
      <c r="P44" s="18" t="s">
        <v>155</v>
      </c>
      <c r="Q44" s="17" t="s">
        <v>188</v>
      </c>
      <c r="R44" s="17"/>
      <c r="S44" s="16" t="str">
        <f>"540,0"</f>
        <v>540,0</v>
      </c>
      <c r="T44" s="18" t="str">
        <f>"289,7100"</f>
        <v>289,7100</v>
      </c>
      <c r="U44" s="16" t="s">
        <v>72</v>
      </c>
    </row>
    <row r="46" spans="1:20" ht="15">
      <c r="A46" s="48" t="s">
        <v>193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1" ht="12.75">
      <c r="A47" s="13" t="s">
        <v>195</v>
      </c>
      <c r="B47" s="13" t="s">
        <v>196</v>
      </c>
      <c r="C47" s="13" t="s">
        <v>197</v>
      </c>
      <c r="D47" s="13" t="str">
        <f>"0,5346"</f>
        <v>0,5346</v>
      </c>
      <c r="E47" s="13" t="s">
        <v>29</v>
      </c>
      <c r="F47" s="13" t="s">
        <v>30</v>
      </c>
      <c r="G47" s="14" t="s">
        <v>96</v>
      </c>
      <c r="H47" s="14" t="s">
        <v>149</v>
      </c>
      <c r="I47" s="14" t="s">
        <v>198</v>
      </c>
      <c r="J47" s="15"/>
      <c r="K47" s="15" t="s">
        <v>46</v>
      </c>
      <c r="L47" s="14" t="s">
        <v>47</v>
      </c>
      <c r="M47" s="15" t="s">
        <v>146</v>
      </c>
      <c r="N47" s="15"/>
      <c r="O47" s="14" t="s">
        <v>97</v>
      </c>
      <c r="P47" s="14" t="s">
        <v>125</v>
      </c>
      <c r="Q47" s="14" t="s">
        <v>138</v>
      </c>
      <c r="R47" s="15"/>
      <c r="S47" s="13" t="str">
        <f>"565,0"</f>
        <v>565,0</v>
      </c>
      <c r="T47" s="14" t="str">
        <f>"302,0490"</f>
        <v>302,0490</v>
      </c>
      <c r="U47" s="13" t="s">
        <v>39</v>
      </c>
    </row>
    <row r="48" spans="1:21" ht="12.75">
      <c r="A48" s="16" t="s">
        <v>200</v>
      </c>
      <c r="B48" s="16" t="s">
        <v>201</v>
      </c>
      <c r="C48" s="16" t="s">
        <v>202</v>
      </c>
      <c r="D48" s="16" t="str">
        <f>"0,5330"</f>
        <v>0,5330</v>
      </c>
      <c r="E48" s="16" t="s">
        <v>68</v>
      </c>
      <c r="F48" s="16" t="s">
        <v>58</v>
      </c>
      <c r="G48" s="18" t="s">
        <v>70</v>
      </c>
      <c r="H48" s="17"/>
      <c r="I48" s="17"/>
      <c r="J48" s="17"/>
      <c r="K48" s="18" t="s">
        <v>71</v>
      </c>
      <c r="L48" s="18" t="s">
        <v>86</v>
      </c>
      <c r="M48" s="17" t="s">
        <v>203</v>
      </c>
      <c r="N48" s="17"/>
      <c r="O48" s="18" t="s">
        <v>96</v>
      </c>
      <c r="P48" s="18" t="s">
        <v>98</v>
      </c>
      <c r="Q48" s="18" t="s">
        <v>124</v>
      </c>
      <c r="R48" s="17"/>
      <c r="S48" s="16" t="str">
        <f>"530,0"</f>
        <v>530,0</v>
      </c>
      <c r="T48" s="18" t="str">
        <f>"282,4900"</f>
        <v>282,4900</v>
      </c>
      <c r="U48" s="16" t="s">
        <v>87</v>
      </c>
    </row>
    <row r="50" ht="15">
      <c r="E50" s="8" t="s">
        <v>13</v>
      </c>
    </row>
    <row r="51" ht="15">
      <c r="E51" s="8" t="s">
        <v>14</v>
      </c>
    </row>
    <row r="52" ht="15">
      <c r="E52" s="8" t="s">
        <v>15</v>
      </c>
    </row>
    <row r="53" ht="15">
      <c r="E53" s="8" t="s">
        <v>16</v>
      </c>
    </row>
    <row r="54" ht="15">
      <c r="E54" s="8" t="s">
        <v>16</v>
      </c>
    </row>
    <row r="55" ht="15">
      <c r="E55" s="8" t="s">
        <v>17</v>
      </c>
    </row>
    <row r="56" ht="15">
      <c r="E56" s="8"/>
    </row>
    <row r="58" spans="1:2" ht="18">
      <c r="A58" s="9" t="s">
        <v>18</v>
      </c>
      <c r="B58" s="9"/>
    </row>
    <row r="59" spans="1:2" ht="15">
      <c r="A59" s="22" t="s">
        <v>204</v>
      </c>
      <c r="B59" s="22"/>
    </row>
    <row r="60" spans="1:2" ht="14.25">
      <c r="A60" s="24"/>
      <c r="B60" s="25" t="s">
        <v>205</v>
      </c>
    </row>
    <row r="61" spans="1:5" ht="15">
      <c r="A61" s="26" t="s">
        <v>206</v>
      </c>
      <c r="B61" s="26" t="s">
        <v>207</v>
      </c>
      <c r="C61" s="26" t="s">
        <v>208</v>
      </c>
      <c r="D61" s="26" t="s">
        <v>209</v>
      </c>
      <c r="E61" s="26" t="s">
        <v>210</v>
      </c>
    </row>
    <row r="62" spans="1:5" ht="12.75">
      <c r="A62" s="23" t="s">
        <v>41</v>
      </c>
      <c r="B62" s="4" t="s">
        <v>205</v>
      </c>
      <c r="C62" s="4" t="s">
        <v>62</v>
      </c>
      <c r="D62" s="4" t="s">
        <v>211</v>
      </c>
      <c r="E62" s="27" t="s">
        <v>212</v>
      </c>
    </row>
    <row r="63" spans="1:5" ht="12.75">
      <c r="A63" s="23" t="s">
        <v>25</v>
      </c>
      <c r="B63" s="4" t="s">
        <v>205</v>
      </c>
      <c r="C63" s="4" t="s">
        <v>213</v>
      </c>
      <c r="D63" s="4" t="s">
        <v>214</v>
      </c>
      <c r="E63" s="27" t="s">
        <v>215</v>
      </c>
    </row>
    <row r="66" spans="1:2" ht="15">
      <c r="A66" s="22" t="s">
        <v>216</v>
      </c>
      <c r="B66" s="22"/>
    </row>
    <row r="67" spans="1:2" ht="14.25">
      <c r="A67" s="24"/>
      <c r="B67" s="25" t="s">
        <v>217</v>
      </c>
    </row>
    <row r="68" spans="1:5" ht="15">
      <c r="A68" s="26" t="s">
        <v>206</v>
      </c>
      <c r="B68" s="26" t="s">
        <v>207</v>
      </c>
      <c r="C68" s="26" t="s">
        <v>208</v>
      </c>
      <c r="D68" s="26" t="s">
        <v>209</v>
      </c>
      <c r="E68" s="26" t="s">
        <v>210</v>
      </c>
    </row>
    <row r="69" spans="1:5" ht="12.75">
      <c r="A69" s="23" t="s">
        <v>126</v>
      </c>
      <c r="B69" s="4" t="s">
        <v>218</v>
      </c>
      <c r="C69" s="4" t="s">
        <v>79</v>
      </c>
      <c r="D69" s="4" t="s">
        <v>219</v>
      </c>
      <c r="E69" s="27" t="s">
        <v>220</v>
      </c>
    </row>
    <row r="70" spans="1:5" ht="12.75">
      <c r="A70" s="23" t="s">
        <v>119</v>
      </c>
      <c r="B70" s="4" t="s">
        <v>218</v>
      </c>
      <c r="C70" s="4" t="s">
        <v>79</v>
      </c>
      <c r="D70" s="4" t="s">
        <v>221</v>
      </c>
      <c r="E70" s="27" t="s">
        <v>222</v>
      </c>
    </row>
    <row r="71" spans="1:5" ht="12.75">
      <c r="A71" s="23" t="s">
        <v>88</v>
      </c>
      <c r="B71" s="4" t="s">
        <v>218</v>
      </c>
      <c r="C71" s="4" t="s">
        <v>62</v>
      </c>
      <c r="D71" s="4" t="s">
        <v>223</v>
      </c>
      <c r="E71" s="27" t="s">
        <v>224</v>
      </c>
    </row>
    <row r="72" spans="1:5" ht="12.75">
      <c r="A72" s="23" t="s">
        <v>100</v>
      </c>
      <c r="B72" s="4" t="s">
        <v>218</v>
      </c>
      <c r="C72" s="4" t="s">
        <v>62</v>
      </c>
      <c r="D72" s="4" t="s">
        <v>225</v>
      </c>
      <c r="E72" s="27" t="s">
        <v>226</v>
      </c>
    </row>
    <row r="73" spans="1:5" ht="12.75">
      <c r="A73" s="23" t="s">
        <v>168</v>
      </c>
      <c r="B73" s="4" t="s">
        <v>227</v>
      </c>
      <c r="C73" s="4" t="s">
        <v>33</v>
      </c>
      <c r="D73" s="4" t="s">
        <v>228</v>
      </c>
      <c r="E73" s="27" t="s">
        <v>229</v>
      </c>
    </row>
    <row r="74" spans="1:5" ht="12.75">
      <c r="A74" s="23" t="s">
        <v>53</v>
      </c>
      <c r="B74" s="4" t="s">
        <v>230</v>
      </c>
      <c r="C74" s="4" t="s">
        <v>231</v>
      </c>
      <c r="D74" s="4" t="s">
        <v>136</v>
      </c>
      <c r="E74" s="27" t="s">
        <v>232</v>
      </c>
    </row>
    <row r="76" spans="1:2" ht="14.25">
      <c r="A76" s="24"/>
      <c r="B76" s="25" t="s">
        <v>233</v>
      </c>
    </row>
    <row r="77" spans="1:5" ht="15">
      <c r="A77" s="26" t="s">
        <v>206</v>
      </c>
      <c r="B77" s="26" t="s">
        <v>207</v>
      </c>
      <c r="C77" s="26" t="s">
        <v>208</v>
      </c>
      <c r="D77" s="26" t="s">
        <v>209</v>
      </c>
      <c r="E77" s="26" t="s">
        <v>210</v>
      </c>
    </row>
    <row r="78" spans="1:5" ht="12.75">
      <c r="A78" s="23" t="s">
        <v>132</v>
      </c>
      <c r="B78" s="4" t="s">
        <v>234</v>
      </c>
      <c r="C78" s="4" t="s">
        <v>79</v>
      </c>
      <c r="D78" s="4" t="s">
        <v>235</v>
      </c>
      <c r="E78" s="27" t="s">
        <v>236</v>
      </c>
    </row>
    <row r="79" spans="1:5" ht="12.75">
      <c r="A79" s="23" t="s">
        <v>141</v>
      </c>
      <c r="B79" s="4" t="s">
        <v>234</v>
      </c>
      <c r="C79" s="4" t="s">
        <v>37</v>
      </c>
      <c r="D79" s="4" t="s">
        <v>237</v>
      </c>
      <c r="E79" s="27" t="s">
        <v>238</v>
      </c>
    </row>
    <row r="80" spans="1:5" ht="12.75">
      <c r="A80" s="23" t="s">
        <v>74</v>
      </c>
      <c r="B80" s="4" t="s">
        <v>234</v>
      </c>
      <c r="C80" s="4" t="s">
        <v>239</v>
      </c>
      <c r="D80" s="4" t="s">
        <v>240</v>
      </c>
      <c r="E80" s="27" t="s">
        <v>241</v>
      </c>
    </row>
    <row r="82" spans="1:2" ht="14.25">
      <c r="A82" s="24"/>
      <c r="B82" s="25" t="s">
        <v>205</v>
      </c>
    </row>
    <row r="83" spans="1:5" ht="15">
      <c r="A83" s="26" t="s">
        <v>206</v>
      </c>
      <c r="B83" s="26" t="s">
        <v>207</v>
      </c>
      <c r="C83" s="26" t="s">
        <v>208</v>
      </c>
      <c r="D83" s="26" t="s">
        <v>209</v>
      </c>
      <c r="E83" s="26" t="s">
        <v>210</v>
      </c>
    </row>
    <row r="84" spans="1:5" ht="12.75">
      <c r="A84" s="23" t="s">
        <v>64</v>
      </c>
      <c r="B84" s="4" t="s">
        <v>205</v>
      </c>
      <c r="C84" s="4" t="s">
        <v>213</v>
      </c>
      <c r="D84" s="4" t="s">
        <v>242</v>
      </c>
      <c r="E84" s="27" t="s">
        <v>243</v>
      </c>
    </row>
    <row r="85" spans="1:5" ht="12.75">
      <c r="A85" s="23" t="s">
        <v>151</v>
      </c>
      <c r="B85" s="4" t="s">
        <v>205</v>
      </c>
      <c r="C85" s="4" t="s">
        <v>37</v>
      </c>
      <c r="D85" s="4" t="s">
        <v>244</v>
      </c>
      <c r="E85" s="27" t="s">
        <v>245</v>
      </c>
    </row>
    <row r="86" spans="1:5" ht="12.75">
      <c r="A86" s="23" t="s">
        <v>156</v>
      </c>
      <c r="B86" s="4" t="s">
        <v>205</v>
      </c>
      <c r="C86" s="4" t="s">
        <v>37</v>
      </c>
      <c r="D86" s="4" t="s">
        <v>246</v>
      </c>
      <c r="E86" s="27" t="s">
        <v>247</v>
      </c>
    </row>
    <row r="87" spans="1:5" ht="12.75">
      <c r="A87" s="23" t="s">
        <v>173</v>
      </c>
      <c r="B87" s="4" t="s">
        <v>205</v>
      </c>
      <c r="C87" s="4" t="s">
        <v>33</v>
      </c>
      <c r="D87" s="4" t="s">
        <v>248</v>
      </c>
      <c r="E87" s="27" t="s">
        <v>249</v>
      </c>
    </row>
    <row r="88" spans="1:5" ht="12.75">
      <c r="A88" s="23" t="s">
        <v>194</v>
      </c>
      <c r="B88" s="4" t="s">
        <v>205</v>
      </c>
      <c r="C88" s="4" t="s">
        <v>45</v>
      </c>
      <c r="D88" s="4" t="s">
        <v>250</v>
      </c>
      <c r="E88" s="27" t="s">
        <v>251</v>
      </c>
    </row>
    <row r="89" spans="1:5" ht="12.75">
      <c r="A89" s="23" t="s">
        <v>183</v>
      </c>
      <c r="B89" s="4" t="s">
        <v>205</v>
      </c>
      <c r="C89" s="4" t="s">
        <v>69</v>
      </c>
      <c r="D89" s="4" t="s">
        <v>244</v>
      </c>
      <c r="E89" s="27" t="s">
        <v>252</v>
      </c>
    </row>
    <row r="90" spans="1:5" ht="12.75">
      <c r="A90" s="23" t="s">
        <v>80</v>
      </c>
      <c r="B90" s="4" t="s">
        <v>205</v>
      </c>
      <c r="C90" s="4" t="s">
        <v>239</v>
      </c>
      <c r="D90" s="4" t="s">
        <v>253</v>
      </c>
      <c r="E90" s="27" t="s">
        <v>254</v>
      </c>
    </row>
    <row r="91" spans="1:5" ht="12.75">
      <c r="A91" s="23" t="s">
        <v>189</v>
      </c>
      <c r="B91" s="4" t="s">
        <v>205</v>
      </c>
      <c r="C91" s="4" t="s">
        <v>69</v>
      </c>
      <c r="D91" s="4" t="s">
        <v>255</v>
      </c>
      <c r="E91" s="27" t="s">
        <v>256</v>
      </c>
    </row>
    <row r="92" spans="1:5" ht="12.75">
      <c r="A92" s="23" t="s">
        <v>199</v>
      </c>
      <c r="B92" s="4" t="s">
        <v>205</v>
      </c>
      <c r="C92" s="4" t="s">
        <v>45</v>
      </c>
      <c r="D92" s="4" t="s">
        <v>257</v>
      </c>
      <c r="E92" s="27" t="s">
        <v>258</v>
      </c>
    </row>
    <row r="94" spans="1:2" ht="14.25">
      <c r="A94" s="24"/>
      <c r="B94" s="25" t="s">
        <v>259</v>
      </c>
    </row>
    <row r="95" spans="1:5" ht="15">
      <c r="A95" s="26" t="s">
        <v>206</v>
      </c>
      <c r="B95" s="26" t="s">
        <v>207</v>
      </c>
      <c r="C95" s="26" t="s">
        <v>208</v>
      </c>
      <c r="D95" s="26" t="s">
        <v>209</v>
      </c>
      <c r="E95" s="26" t="s">
        <v>210</v>
      </c>
    </row>
    <row r="96" spans="1:5" ht="12.75">
      <c r="A96" s="23" t="s">
        <v>161</v>
      </c>
      <c r="B96" s="4" t="s">
        <v>260</v>
      </c>
      <c r="C96" s="4" t="s">
        <v>37</v>
      </c>
      <c r="D96" s="4" t="s">
        <v>261</v>
      </c>
      <c r="E96" s="27" t="s">
        <v>262</v>
      </c>
    </row>
  </sheetData>
  <sheetProtection/>
  <mergeCells count="24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42:T42"/>
    <mergeCell ref="A46:T46"/>
    <mergeCell ref="A14:T14"/>
    <mergeCell ref="A17:T17"/>
    <mergeCell ref="A21:T21"/>
    <mergeCell ref="A27:T27"/>
    <mergeCell ref="A32:T32"/>
    <mergeCell ref="A38:T3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7.25390625" style="4" bestFit="1" customWidth="1"/>
    <col min="7" max="7" width="5.625" style="3" bestFit="1" customWidth="1"/>
    <col min="8" max="8" width="4.625" style="50" bestFit="1" customWidth="1"/>
    <col min="9" max="9" width="7.875" style="4" bestFit="1" customWidth="1"/>
    <col min="10" max="10" width="9.625" style="3" bestFit="1" customWidth="1"/>
    <col min="11" max="11" width="10.375" style="4" bestFit="1" customWidth="1"/>
    <col min="12" max="16384" width="9.125" style="3" customWidth="1"/>
  </cols>
  <sheetData>
    <row r="1" spans="1:11" s="2" customFormat="1" ht="28.5" customHeight="1">
      <c r="A1" s="47" t="s">
        <v>765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s="1" customFormat="1" ht="12.75" customHeight="1">
      <c r="A3" s="40" t="s">
        <v>0</v>
      </c>
      <c r="B3" s="42" t="s">
        <v>10</v>
      </c>
      <c r="C3" s="42" t="s">
        <v>11</v>
      </c>
      <c r="D3" s="44" t="s">
        <v>764</v>
      </c>
      <c r="E3" s="44" t="s">
        <v>7</v>
      </c>
      <c r="F3" s="44" t="s">
        <v>12</v>
      </c>
      <c r="G3" s="44" t="s">
        <v>763</v>
      </c>
      <c r="H3" s="44"/>
      <c r="I3" s="44" t="s">
        <v>762</v>
      </c>
      <c r="J3" s="44" t="s">
        <v>6</v>
      </c>
      <c r="K3" s="32" t="s">
        <v>5</v>
      </c>
    </row>
    <row r="4" spans="1:11" s="1" customFormat="1" ht="21" customHeight="1" thickBot="1">
      <c r="A4" s="41"/>
      <c r="B4" s="43"/>
      <c r="C4" s="43"/>
      <c r="D4" s="43"/>
      <c r="E4" s="43"/>
      <c r="F4" s="43"/>
      <c r="G4" s="28" t="s">
        <v>761</v>
      </c>
      <c r="H4" s="52" t="s">
        <v>760</v>
      </c>
      <c r="I4" s="43"/>
      <c r="J4" s="43"/>
      <c r="K4" s="33"/>
    </row>
    <row r="5" spans="1:10" ht="15">
      <c r="A5" s="45" t="s">
        <v>118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0" t="s">
        <v>759</v>
      </c>
      <c r="B6" s="10" t="s">
        <v>758</v>
      </c>
      <c r="C6" s="10" t="s">
        <v>757</v>
      </c>
      <c r="D6" s="10" t="str">
        <f>"0,7879"</f>
        <v>0,7879</v>
      </c>
      <c r="E6" s="10" t="s">
        <v>104</v>
      </c>
      <c r="F6" s="10" t="s">
        <v>105</v>
      </c>
      <c r="G6" s="11" t="s">
        <v>106</v>
      </c>
      <c r="H6" s="51" t="s">
        <v>756</v>
      </c>
      <c r="I6" s="10" t="str">
        <f>"2320,0"</f>
        <v>2320,0</v>
      </c>
      <c r="J6" s="11" t="str">
        <f>"1827,9279"</f>
        <v>1827,9279</v>
      </c>
      <c r="K6" s="10" t="s">
        <v>131</v>
      </c>
    </row>
    <row r="8" spans="1:10" ht="15">
      <c r="A8" s="48" t="s">
        <v>140</v>
      </c>
      <c r="B8" s="49"/>
      <c r="C8" s="49"/>
      <c r="D8" s="49"/>
      <c r="E8" s="49"/>
      <c r="F8" s="49"/>
      <c r="G8" s="49"/>
      <c r="H8" s="49"/>
      <c r="I8" s="49"/>
      <c r="J8" s="49"/>
    </row>
    <row r="9" spans="1:11" ht="12.75">
      <c r="A9" s="10" t="s">
        <v>599</v>
      </c>
      <c r="B9" s="10" t="s">
        <v>600</v>
      </c>
      <c r="C9" s="10" t="s">
        <v>601</v>
      </c>
      <c r="D9" s="10" t="str">
        <f>"0,7557"</f>
        <v>0,7557</v>
      </c>
      <c r="E9" s="10" t="s">
        <v>84</v>
      </c>
      <c r="F9" s="10" t="s">
        <v>322</v>
      </c>
      <c r="G9" s="11" t="s">
        <v>31</v>
      </c>
      <c r="H9" s="51" t="s">
        <v>755</v>
      </c>
      <c r="I9" s="10" t="str">
        <f>"2805,0"</f>
        <v>2805,0</v>
      </c>
      <c r="J9" s="11" t="str">
        <f>"2119,7385"</f>
        <v>2119,7385</v>
      </c>
      <c r="K9" s="10" t="s">
        <v>87</v>
      </c>
    </row>
    <row r="11" spans="1:10" ht="15">
      <c r="A11" s="48" t="s">
        <v>167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1" ht="12.75">
      <c r="A12" s="10" t="s">
        <v>754</v>
      </c>
      <c r="B12" s="10" t="s">
        <v>753</v>
      </c>
      <c r="C12" s="10" t="s">
        <v>459</v>
      </c>
      <c r="D12" s="10" t="str">
        <f>"0,6618"</f>
        <v>0,6618</v>
      </c>
      <c r="E12" s="10" t="s">
        <v>104</v>
      </c>
      <c r="F12" s="10" t="s">
        <v>105</v>
      </c>
      <c r="G12" s="11" t="s">
        <v>420</v>
      </c>
      <c r="H12" s="51" t="s">
        <v>752</v>
      </c>
      <c r="I12" s="10" t="str">
        <f>"2562,5"</f>
        <v>2562,5</v>
      </c>
      <c r="J12" s="11" t="str">
        <f>"1695,8626"</f>
        <v>1695,8626</v>
      </c>
      <c r="K12" s="10" t="s">
        <v>131</v>
      </c>
    </row>
    <row r="14" ht="15">
      <c r="E14" s="8" t="s">
        <v>13</v>
      </c>
    </row>
    <row r="15" ht="15">
      <c r="E15" s="8" t="s">
        <v>14</v>
      </c>
    </row>
    <row r="16" ht="15">
      <c r="E16" s="8" t="s">
        <v>15</v>
      </c>
    </row>
    <row r="17" spans="1:5" s="3" customFormat="1" ht="15">
      <c r="A17" s="4"/>
      <c r="B17" s="4"/>
      <c r="C17" s="4"/>
      <c r="D17" s="4"/>
      <c r="E17" s="8" t="s">
        <v>16</v>
      </c>
    </row>
    <row r="18" spans="1:5" s="3" customFormat="1" ht="15">
      <c r="A18" s="4"/>
      <c r="B18" s="4"/>
      <c r="C18" s="4"/>
      <c r="D18" s="4"/>
      <c r="E18" s="8" t="s">
        <v>16</v>
      </c>
    </row>
    <row r="19" spans="1:5" s="3" customFormat="1" ht="15">
      <c r="A19" s="4"/>
      <c r="B19" s="4"/>
      <c r="C19" s="4"/>
      <c r="D19" s="4"/>
      <c r="E19" s="8" t="s">
        <v>17</v>
      </c>
    </row>
    <row r="20" spans="1:5" s="3" customFormat="1" ht="15">
      <c r="A20" s="4"/>
      <c r="B20" s="4"/>
      <c r="C20" s="4"/>
      <c r="D20" s="4"/>
      <c r="E20" s="8"/>
    </row>
    <row r="22" spans="1:5" s="3" customFormat="1" ht="18">
      <c r="A22" s="9" t="s">
        <v>18</v>
      </c>
      <c r="B22" s="9"/>
      <c r="C22" s="4"/>
      <c r="D22" s="4"/>
      <c r="E22" s="4"/>
    </row>
    <row r="23" spans="1:5" s="3" customFormat="1" ht="15">
      <c r="A23" s="22" t="s">
        <v>216</v>
      </c>
      <c r="B23" s="22"/>
      <c r="C23" s="4"/>
      <c r="D23" s="4"/>
      <c r="E23" s="4"/>
    </row>
    <row r="24" spans="1:5" s="3" customFormat="1" ht="14.25">
      <c r="A24" s="24"/>
      <c r="B24" s="25" t="s">
        <v>205</v>
      </c>
      <c r="C24" s="4"/>
      <c r="D24" s="4"/>
      <c r="E24" s="4"/>
    </row>
    <row r="25" spans="1:5" s="3" customFormat="1" ht="15">
      <c r="A25" s="26" t="s">
        <v>206</v>
      </c>
      <c r="B25" s="26" t="s">
        <v>207</v>
      </c>
      <c r="C25" s="26" t="s">
        <v>208</v>
      </c>
      <c r="D25" s="26" t="s">
        <v>209</v>
      </c>
      <c r="E25" s="26" t="s">
        <v>749</v>
      </c>
    </row>
    <row r="26" spans="1:5" s="3" customFormat="1" ht="12.75">
      <c r="A26" s="23" t="s">
        <v>598</v>
      </c>
      <c r="B26" s="4" t="s">
        <v>205</v>
      </c>
      <c r="C26" s="4" t="s">
        <v>37</v>
      </c>
      <c r="D26" s="4" t="s">
        <v>751</v>
      </c>
      <c r="E26" s="27" t="s">
        <v>750</v>
      </c>
    </row>
    <row r="28" spans="1:5" s="3" customFormat="1" ht="14.25">
      <c r="A28" s="24"/>
      <c r="B28" s="25" t="s">
        <v>259</v>
      </c>
      <c r="C28" s="4"/>
      <c r="D28" s="4"/>
      <c r="E28" s="4"/>
    </row>
    <row r="29" spans="1:5" s="3" customFormat="1" ht="15">
      <c r="A29" s="26" t="s">
        <v>206</v>
      </c>
      <c r="B29" s="26" t="s">
        <v>207</v>
      </c>
      <c r="C29" s="26" t="s">
        <v>208</v>
      </c>
      <c r="D29" s="26" t="s">
        <v>209</v>
      </c>
      <c r="E29" s="26" t="s">
        <v>749</v>
      </c>
    </row>
    <row r="30" spans="1:5" s="3" customFormat="1" ht="12.75">
      <c r="A30" s="23" t="s">
        <v>748</v>
      </c>
      <c r="B30" s="4" t="s">
        <v>497</v>
      </c>
      <c r="C30" s="4" t="s">
        <v>79</v>
      </c>
      <c r="D30" s="4" t="s">
        <v>747</v>
      </c>
      <c r="E30" s="27" t="s">
        <v>746</v>
      </c>
    </row>
    <row r="31" spans="1:5" s="3" customFormat="1" ht="12.75">
      <c r="A31" s="23" t="s">
        <v>745</v>
      </c>
      <c r="B31" s="4" t="s">
        <v>339</v>
      </c>
      <c r="C31" s="4" t="s">
        <v>33</v>
      </c>
      <c r="D31" s="4" t="s">
        <v>744</v>
      </c>
      <c r="E31" s="27" t="s">
        <v>743</v>
      </c>
    </row>
  </sheetData>
  <sheetProtection/>
  <mergeCells count="14">
    <mergeCell ref="J3:J4"/>
    <mergeCell ref="K3:K4"/>
    <mergeCell ref="A5:J5"/>
    <mergeCell ref="A8:J8"/>
    <mergeCell ref="A11:J11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2.25390625" style="4" bestFit="1" customWidth="1"/>
    <col min="7" max="7" width="4.625" style="3" bestFit="1" customWidth="1"/>
    <col min="8" max="8" width="4.625" style="50" bestFit="1" customWidth="1"/>
    <col min="9" max="9" width="7.875" style="4" bestFit="1" customWidth="1"/>
    <col min="10" max="10" width="8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7" t="s">
        <v>770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s="1" customFormat="1" ht="12.75" customHeight="1">
      <c r="A3" s="40" t="s">
        <v>0</v>
      </c>
      <c r="B3" s="42" t="s">
        <v>10</v>
      </c>
      <c r="C3" s="42" t="s">
        <v>11</v>
      </c>
      <c r="D3" s="44" t="s">
        <v>764</v>
      </c>
      <c r="E3" s="44" t="s">
        <v>7</v>
      </c>
      <c r="F3" s="44" t="s">
        <v>12</v>
      </c>
      <c r="G3" s="44" t="s">
        <v>763</v>
      </c>
      <c r="H3" s="44"/>
      <c r="I3" s="44" t="s">
        <v>762</v>
      </c>
      <c r="J3" s="44" t="s">
        <v>6</v>
      </c>
      <c r="K3" s="32" t="s">
        <v>5</v>
      </c>
    </row>
    <row r="4" spans="1:11" s="1" customFormat="1" ht="21" customHeight="1" thickBot="1">
      <c r="A4" s="41"/>
      <c r="B4" s="43"/>
      <c r="C4" s="43"/>
      <c r="D4" s="43"/>
      <c r="E4" s="43"/>
      <c r="F4" s="43"/>
      <c r="G4" s="28" t="s">
        <v>761</v>
      </c>
      <c r="H4" s="52" t="s">
        <v>760</v>
      </c>
      <c r="I4" s="43"/>
      <c r="J4" s="43"/>
      <c r="K4" s="33"/>
    </row>
    <row r="5" spans="1:10" ht="15">
      <c r="A5" s="45" t="s">
        <v>52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0" t="s">
        <v>348</v>
      </c>
      <c r="B6" s="10" t="s">
        <v>349</v>
      </c>
      <c r="C6" s="10" t="s">
        <v>350</v>
      </c>
      <c r="D6" s="10" t="str">
        <f>"0,9726"</f>
        <v>0,9726</v>
      </c>
      <c r="E6" s="10" t="s">
        <v>84</v>
      </c>
      <c r="F6" s="10" t="s">
        <v>351</v>
      </c>
      <c r="G6" s="11" t="s">
        <v>752</v>
      </c>
      <c r="H6" s="51" t="s">
        <v>34</v>
      </c>
      <c r="I6" s="10" t="str">
        <f>"875,0"</f>
        <v>875,0</v>
      </c>
      <c r="J6" s="11" t="str">
        <f>"851,0250"</f>
        <v>851,0250</v>
      </c>
      <c r="K6" s="10" t="s">
        <v>87</v>
      </c>
    </row>
    <row r="8" spans="1:10" ht="15">
      <c r="A8" s="48" t="s">
        <v>73</v>
      </c>
      <c r="B8" s="49"/>
      <c r="C8" s="49"/>
      <c r="D8" s="49"/>
      <c r="E8" s="49"/>
      <c r="F8" s="49"/>
      <c r="G8" s="49"/>
      <c r="H8" s="49"/>
      <c r="I8" s="49"/>
      <c r="J8" s="49"/>
    </row>
    <row r="9" spans="1:11" ht="12.75">
      <c r="A9" s="10" t="s">
        <v>370</v>
      </c>
      <c r="B9" s="10" t="s">
        <v>371</v>
      </c>
      <c r="C9" s="10" t="s">
        <v>372</v>
      </c>
      <c r="D9" s="10" t="str">
        <f>"0,9467"</f>
        <v>0,9467</v>
      </c>
      <c r="E9" s="10" t="s">
        <v>84</v>
      </c>
      <c r="F9" s="10" t="s">
        <v>165</v>
      </c>
      <c r="G9" s="11" t="s">
        <v>270</v>
      </c>
      <c r="H9" s="51" t="s">
        <v>269</v>
      </c>
      <c r="I9" s="10" t="str">
        <f>"975,0"</f>
        <v>975,0</v>
      </c>
      <c r="J9" s="11" t="str">
        <f>"923,0325"</f>
        <v>923,0325</v>
      </c>
      <c r="K9" s="10" t="s">
        <v>87</v>
      </c>
    </row>
    <row r="11" ht="15">
      <c r="E11" s="8" t="s">
        <v>13</v>
      </c>
    </row>
    <row r="12" ht="15">
      <c r="E12" s="8" t="s">
        <v>14</v>
      </c>
    </row>
    <row r="13" ht="15">
      <c r="E13" s="8" t="s">
        <v>15</v>
      </c>
    </row>
    <row r="14" ht="15">
      <c r="E14" s="8" t="s">
        <v>16</v>
      </c>
    </row>
    <row r="15" ht="15">
      <c r="E15" s="8" t="s">
        <v>16</v>
      </c>
    </row>
    <row r="16" ht="15">
      <c r="E16" s="8" t="s">
        <v>17</v>
      </c>
    </row>
    <row r="17" spans="1:5" s="3" customFormat="1" ht="15">
      <c r="A17" s="4"/>
      <c r="B17" s="4"/>
      <c r="C17" s="4"/>
      <c r="D17" s="4"/>
      <c r="E17" s="8"/>
    </row>
    <row r="19" spans="1:5" s="3" customFormat="1" ht="18">
      <c r="A19" s="9" t="s">
        <v>18</v>
      </c>
      <c r="B19" s="9"/>
      <c r="C19" s="4"/>
      <c r="D19" s="4"/>
      <c r="E19" s="4"/>
    </row>
    <row r="20" spans="1:5" s="3" customFormat="1" ht="15">
      <c r="A20" s="22" t="s">
        <v>204</v>
      </c>
      <c r="B20" s="22"/>
      <c r="C20" s="4"/>
      <c r="D20" s="4"/>
      <c r="E20" s="4"/>
    </row>
    <row r="21" spans="1:5" s="3" customFormat="1" ht="14.25">
      <c r="A21" s="24"/>
      <c r="B21" s="25" t="s">
        <v>205</v>
      </c>
      <c r="C21" s="4"/>
      <c r="D21" s="4"/>
      <c r="E21" s="4"/>
    </row>
    <row r="22" spans="1:5" s="3" customFormat="1" ht="15">
      <c r="A22" s="26" t="s">
        <v>206</v>
      </c>
      <c r="B22" s="26" t="s">
        <v>207</v>
      </c>
      <c r="C22" s="26" t="s">
        <v>208</v>
      </c>
      <c r="D22" s="26" t="s">
        <v>209</v>
      </c>
      <c r="E22" s="26" t="s">
        <v>749</v>
      </c>
    </row>
    <row r="23" spans="1:5" s="3" customFormat="1" ht="12.75">
      <c r="A23" s="23" t="s">
        <v>369</v>
      </c>
      <c r="B23" s="4" t="s">
        <v>205</v>
      </c>
      <c r="C23" s="4" t="s">
        <v>239</v>
      </c>
      <c r="D23" s="4" t="s">
        <v>769</v>
      </c>
      <c r="E23" s="27" t="s">
        <v>768</v>
      </c>
    </row>
    <row r="24" spans="1:5" s="3" customFormat="1" ht="12.75">
      <c r="A24" s="23" t="s">
        <v>347</v>
      </c>
      <c r="B24" s="4" t="s">
        <v>205</v>
      </c>
      <c r="C24" s="4" t="s">
        <v>231</v>
      </c>
      <c r="D24" s="4" t="s">
        <v>767</v>
      </c>
      <c r="E24" s="27" t="s">
        <v>766</v>
      </c>
    </row>
  </sheetData>
  <sheetProtection/>
  <mergeCells count="13">
    <mergeCell ref="K3:K4"/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8.25390625" style="4" bestFit="1" customWidth="1"/>
    <col min="7" max="7" width="4.625" style="3" bestFit="1" customWidth="1"/>
    <col min="8" max="8" width="4.625" style="50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7" t="s">
        <v>784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s="1" customFormat="1" ht="12.75" customHeight="1">
      <c r="A3" s="40" t="s">
        <v>0</v>
      </c>
      <c r="B3" s="42" t="s">
        <v>10</v>
      </c>
      <c r="C3" s="42" t="s">
        <v>11</v>
      </c>
      <c r="D3" s="44" t="s">
        <v>764</v>
      </c>
      <c r="E3" s="44" t="s">
        <v>7</v>
      </c>
      <c r="F3" s="44" t="s">
        <v>12</v>
      </c>
      <c r="G3" s="44" t="s">
        <v>763</v>
      </c>
      <c r="H3" s="44"/>
      <c r="I3" s="44" t="s">
        <v>762</v>
      </c>
      <c r="J3" s="44" t="s">
        <v>6</v>
      </c>
      <c r="K3" s="32" t="s">
        <v>5</v>
      </c>
    </row>
    <row r="4" spans="1:11" s="1" customFormat="1" ht="21" customHeight="1" thickBot="1">
      <c r="A4" s="41"/>
      <c r="B4" s="43"/>
      <c r="C4" s="43"/>
      <c r="D4" s="43"/>
      <c r="E4" s="43"/>
      <c r="F4" s="43"/>
      <c r="G4" s="28" t="s">
        <v>761</v>
      </c>
      <c r="H4" s="52" t="s">
        <v>760</v>
      </c>
      <c r="I4" s="43"/>
      <c r="J4" s="43"/>
      <c r="K4" s="33"/>
    </row>
    <row r="5" spans="1:10" ht="15">
      <c r="A5" s="45" t="s">
        <v>40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0" t="s">
        <v>411</v>
      </c>
      <c r="B6" s="10" t="s">
        <v>111</v>
      </c>
      <c r="C6" s="10" t="s">
        <v>91</v>
      </c>
      <c r="D6" s="10" t="str">
        <f>"0,7870"</f>
        <v>0,7870</v>
      </c>
      <c r="E6" s="10" t="s">
        <v>84</v>
      </c>
      <c r="F6" s="10" t="s">
        <v>112</v>
      </c>
      <c r="G6" s="11" t="s">
        <v>62</v>
      </c>
      <c r="H6" s="51" t="s">
        <v>783</v>
      </c>
      <c r="I6" s="10" t="str">
        <f>"1650,0"</f>
        <v>1650,0</v>
      </c>
      <c r="J6" s="11" t="str">
        <f>"1298,5500"</f>
        <v>1298,5500</v>
      </c>
      <c r="K6" s="10" t="s">
        <v>87</v>
      </c>
    </row>
    <row r="8" spans="1:10" ht="15">
      <c r="A8" s="48" t="s">
        <v>118</v>
      </c>
      <c r="B8" s="49"/>
      <c r="C8" s="49"/>
      <c r="D8" s="49"/>
      <c r="E8" s="49"/>
      <c r="F8" s="49"/>
      <c r="G8" s="49"/>
      <c r="H8" s="49"/>
      <c r="I8" s="49"/>
      <c r="J8" s="49"/>
    </row>
    <row r="9" spans="1:11" ht="12.75">
      <c r="A9" s="10" t="s">
        <v>782</v>
      </c>
      <c r="B9" s="10" t="s">
        <v>781</v>
      </c>
      <c r="C9" s="10" t="s">
        <v>780</v>
      </c>
      <c r="D9" s="10" t="str">
        <f>"0,7591"</f>
        <v>0,7591</v>
      </c>
      <c r="E9" s="10" t="s">
        <v>84</v>
      </c>
      <c r="F9" s="10" t="s">
        <v>58</v>
      </c>
      <c r="G9" s="11" t="s">
        <v>79</v>
      </c>
      <c r="H9" s="51" t="s">
        <v>752</v>
      </c>
      <c r="I9" s="10" t="str">
        <f>"2062,5"</f>
        <v>2062,5</v>
      </c>
      <c r="J9" s="11" t="str">
        <f>"1565,6438"</f>
        <v>1565,6438</v>
      </c>
      <c r="K9" s="10" t="s">
        <v>87</v>
      </c>
    </row>
    <row r="11" spans="1:10" ht="15">
      <c r="A11" s="48" t="s">
        <v>140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1" ht="12.75">
      <c r="A12" s="10" t="s">
        <v>779</v>
      </c>
      <c r="B12" s="10" t="s">
        <v>439</v>
      </c>
      <c r="C12" s="10" t="s">
        <v>440</v>
      </c>
      <c r="D12" s="10" t="str">
        <f>"0,7299"</f>
        <v>0,7299</v>
      </c>
      <c r="E12" s="10" t="s">
        <v>84</v>
      </c>
      <c r="F12" s="10" t="s">
        <v>441</v>
      </c>
      <c r="G12" s="11" t="s">
        <v>37</v>
      </c>
      <c r="H12" s="51" t="s">
        <v>778</v>
      </c>
      <c r="I12" s="10" t="str">
        <f>"2520,0"</f>
        <v>2520,0</v>
      </c>
      <c r="J12" s="11" t="str">
        <f>"1839,3480"</f>
        <v>1839,3480</v>
      </c>
      <c r="K12" s="10" t="s">
        <v>87</v>
      </c>
    </row>
    <row r="14" ht="15">
      <c r="E14" s="8" t="s">
        <v>13</v>
      </c>
    </row>
    <row r="15" ht="15">
      <c r="E15" s="8" t="s">
        <v>14</v>
      </c>
    </row>
    <row r="16" ht="15">
      <c r="E16" s="8" t="s">
        <v>15</v>
      </c>
    </row>
    <row r="17" spans="1:5" s="3" customFormat="1" ht="15">
      <c r="A17" s="4"/>
      <c r="B17" s="4"/>
      <c r="C17" s="4"/>
      <c r="D17" s="4"/>
      <c r="E17" s="8" t="s">
        <v>16</v>
      </c>
    </row>
    <row r="18" spans="1:5" s="3" customFormat="1" ht="15">
      <c r="A18" s="4"/>
      <c r="B18" s="4"/>
      <c r="C18" s="4"/>
      <c r="D18" s="4"/>
      <c r="E18" s="8" t="s">
        <v>16</v>
      </c>
    </row>
    <row r="19" spans="1:5" s="3" customFormat="1" ht="15">
      <c r="A19" s="4"/>
      <c r="B19" s="4"/>
      <c r="C19" s="4"/>
      <c r="D19" s="4"/>
      <c r="E19" s="8" t="s">
        <v>17</v>
      </c>
    </row>
    <row r="20" spans="1:5" s="3" customFormat="1" ht="15">
      <c r="A20" s="4"/>
      <c r="B20" s="4"/>
      <c r="C20" s="4"/>
      <c r="D20" s="4"/>
      <c r="E20" s="8"/>
    </row>
    <row r="22" spans="1:5" s="3" customFormat="1" ht="18">
      <c r="A22" s="9" t="s">
        <v>18</v>
      </c>
      <c r="B22" s="9"/>
      <c r="C22" s="4"/>
      <c r="D22" s="4"/>
      <c r="E22" s="4"/>
    </row>
    <row r="23" spans="1:5" s="3" customFormat="1" ht="15">
      <c r="A23" s="22" t="s">
        <v>216</v>
      </c>
      <c r="B23" s="22"/>
      <c r="C23" s="4"/>
      <c r="D23" s="4"/>
      <c r="E23" s="4"/>
    </row>
    <row r="24" spans="1:5" s="3" customFormat="1" ht="14.25">
      <c r="A24" s="24"/>
      <c r="B24" s="25" t="s">
        <v>233</v>
      </c>
      <c r="C24" s="4"/>
      <c r="D24" s="4"/>
      <c r="E24" s="4"/>
    </row>
    <row r="25" spans="1:5" s="3" customFormat="1" ht="15">
      <c r="A25" s="26" t="s">
        <v>206</v>
      </c>
      <c r="B25" s="26" t="s">
        <v>207</v>
      </c>
      <c r="C25" s="26" t="s">
        <v>208</v>
      </c>
      <c r="D25" s="26" t="s">
        <v>209</v>
      </c>
      <c r="E25" s="26" t="s">
        <v>749</v>
      </c>
    </row>
    <row r="26" spans="1:5" s="3" customFormat="1" ht="12.75">
      <c r="A26" s="23" t="s">
        <v>109</v>
      </c>
      <c r="B26" s="4" t="s">
        <v>234</v>
      </c>
      <c r="C26" s="4" t="s">
        <v>62</v>
      </c>
      <c r="D26" s="4" t="s">
        <v>777</v>
      </c>
      <c r="E26" s="27" t="s">
        <v>776</v>
      </c>
    </row>
    <row r="28" spans="1:5" s="3" customFormat="1" ht="14.25">
      <c r="A28" s="24"/>
      <c r="B28" s="25" t="s">
        <v>205</v>
      </c>
      <c r="C28" s="4"/>
      <c r="D28" s="4"/>
      <c r="E28" s="4"/>
    </row>
    <row r="29" spans="1:5" s="3" customFormat="1" ht="15">
      <c r="A29" s="26" t="s">
        <v>206</v>
      </c>
      <c r="B29" s="26" t="s">
        <v>207</v>
      </c>
      <c r="C29" s="26" t="s">
        <v>208</v>
      </c>
      <c r="D29" s="26" t="s">
        <v>209</v>
      </c>
      <c r="E29" s="26" t="s">
        <v>749</v>
      </c>
    </row>
    <row r="30" spans="1:5" s="3" customFormat="1" ht="12.75">
      <c r="A30" s="23" t="s">
        <v>437</v>
      </c>
      <c r="B30" s="4" t="s">
        <v>205</v>
      </c>
      <c r="C30" s="4" t="s">
        <v>37</v>
      </c>
      <c r="D30" s="4" t="s">
        <v>775</v>
      </c>
      <c r="E30" s="27" t="s">
        <v>774</v>
      </c>
    </row>
    <row r="31" spans="1:5" s="3" customFormat="1" ht="12.75">
      <c r="A31" s="23" t="s">
        <v>773</v>
      </c>
      <c r="B31" s="4" t="s">
        <v>205</v>
      </c>
      <c r="C31" s="4" t="s">
        <v>79</v>
      </c>
      <c r="D31" s="4" t="s">
        <v>772</v>
      </c>
      <c r="E31" s="27" t="s">
        <v>771</v>
      </c>
    </row>
  </sheetData>
  <sheetProtection/>
  <mergeCells count="14">
    <mergeCell ref="A5:J5"/>
    <mergeCell ref="A8:J8"/>
    <mergeCell ref="A11:J11"/>
    <mergeCell ref="D3:D4"/>
    <mergeCell ref="I3:I4"/>
    <mergeCell ref="J3:J4"/>
    <mergeCell ref="A1:K2"/>
    <mergeCell ref="G3:H3"/>
    <mergeCell ref="A3:A4"/>
    <mergeCell ref="B3:B4"/>
    <mergeCell ref="C3:C4"/>
    <mergeCell ref="K3:K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8.25390625" style="27" bestFit="1" customWidth="1"/>
    <col min="2" max="2" width="28.625" style="53" bestFit="1" customWidth="1"/>
    <col min="3" max="3" width="10.625" style="53" bestFit="1" customWidth="1"/>
    <col min="4" max="4" width="9.25390625" style="53" bestFit="1" customWidth="1"/>
    <col min="5" max="5" width="22.75390625" style="54" bestFit="1" customWidth="1"/>
    <col min="6" max="6" width="34.625" style="54" bestFit="1" customWidth="1"/>
    <col min="7" max="14" width="4.625" style="53" bestFit="1" customWidth="1"/>
    <col min="15" max="15" width="7.875" style="27" bestFit="1" customWidth="1"/>
    <col min="16" max="16" width="7.625" style="53" bestFit="1" customWidth="1"/>
    <col min="17" max="17" width="8.875" style="54" bestFit="1" customWidth="1"/>
    <col min="18" max="16384" width="9.125" style="53" customWidth="1"/>
  </cols>
  <sheetData>
    <row r="1" spans="1:17" ht="28.5" customHeight="1">
      <c r="A1" s="70" t="s">
        <v>795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8"/>
    </row>
    <row r="2" spans="1:17" ht="61.5" customHeight="1" thickBot="1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5"/>
    </row>
    <row r="3" spans="1:17" s="1" customFormat="1" ht="12.75" customHeight="1">
      <c r="A3" s="40" t="s">
        <v>0</v>
      </c>
      <c r="B3" s="42" t="s">
        <v>10</v>
      </c>
      <c r="C3" s="42" t="s">
        <v>794</v>
      </c>
      <c r="D3" s="44" t="s">
        <v>20</v>
      </c>
      <c r="E3" s="44" t="s">
        <v>7</v>
      </c>
      <c r="F3" s="44" t="s">
        <v>12</v>
      </c>
      <c r="G3" s="44" t="s">
        <v>793</v>
      </c>
      <c r="H3" s="44"/>
      <c r="I3" s="44"/>
      <c r="J3" s="44"/>
      <c r="K3" s="44" t="s">
        <v>792</v>
      </c>
      <c r="L3" s="44"/>
      <c r="M3" s="44"/>
      <c r="N3" s="44"/>
      <c r="O3" s="44" t="s">
        <v>4</v>
      </c>
      <c r="P3" s="44" t="s">
        <v>6</v>
      </c>
      <c r="Q3" s="32" t="s">
        <v>5</v>
      </c>
    </row>
    <row r="4" spans="1:17" s="1" customFormat="1" ht="21" customHeight="1" thickBot="1">
      <c r="A4" s="41"/>
      <c r="B4" s="43"/>
      <c r="C4" s="43"/>
      <c r="D4" s="43"/>
      <c r="E4" s="43"/>
      <c r="F4" s="43"/>
      <c r="G4" s="64">
        <v>1</v>
      </c>
      <c r="H4" s="64">
        <v>2</v>
      </c>
      <c r="I4" s="64">
        <v>3</v>
      </c>
      <c r="J4" s="64" t="s">
        <v>8</v>
      </c>
      <c r="K4" s="64">
        <v>1</v>
      </c>
      <c r="L4" s="64">
        <v>2</v>
      </c>
      <c r="M4" s="64">
        <v>3</v>
      </c>
      <c r="N4" s="64" t="s">
        <v>8</v>
      </c>
      <c r="O4" s="43"/>
      <c r="P4" s="43"/>
      <c r="Q4" s="33"/>
    </row>
    <row r="5" spans="1:16" ht="15">
      <c r="A5" s="45" t="s">
        <v>40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12.75">
      <c r="A6" s="63" t="s">
        <v>411</v>
      </c>
      <c r="B6" s="62" t="s">
        <v>111</v>
      </c>
      <c r="C6" s="62" t="s">
        <v>91</v>
      </c>
      <c r="D6" s="62" t="str">
        <f>"0,6645"</f>
        <v>0,6645</v>
      </c>
      <c r="E6" s="61" t="s">
        <v>84</v>
      </c>
      <c r="F6" s="61" t="s">
        <v>112</v>
      </c>
      <c r="G6" s="62" t="s">
        <v>276</v>
      </c>
      <c r="H6" s="62" t="s">
        <v>239</v>
      </c>
      <c r="I6" s="62" t="s">
        <v>50</v>
      </c>
      <c r="J6" s="12"/>
      <c r="K6" s="62" t="s">
        <v>352</v>
      </c>
      <c r="L6" s="62" t="s">
        <v>353</v>
      </c>
      <c r="M6" s="62" t="s">
        <v>60</v>
      </c>
      <c r="N6" s="12"/>
      <c r="O6" s="63" t="str">
        <f>"127,5"</f>
        <v>127,5</v>
      </c>
      <c r="P6" s="62" t="str">
        <f>"84,7237"</f>
        <v>84,7237</v>
      </c>
      <c r="Q6" s="61" t="s">
        <v>87</v>
      </c>
    </row>
    <row r="8" spans="1:16" ht="15">
      <c r="A8" s="48" t="s">
        <v>167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7" ht="12.75">
      <c r="A9" s="63" t="s">
        <v>791</v>
      </c>
      <c r="B9" s="62" t="s">
        <v>790</v>
      </c>
      <c r="C9" s="62" t="s">
        <v>789</v>
      </c>
      <c r="D9" s="62" t="str">
        <f>"0,5630"</f>
        <v>0,5630</v>
      </c>
      <c r="E9" s="61" t="s">
        <v>84</v>
      </c>
      <c r="F9" s="61" t="s">
        <v>58</v>
      </c>
      <c r="G9" s="62" t="s">
        <v>49</v>
      </c>
      <c r="H9" s="62" t="s">
        <v>62</v>
      </c>
      <c r="I9" s="62" t="s">
        <v>78</v>
      </c>
      <c r="J9" s="12"/>
      <c r="K9" s="62" t="s">
        <v>60</v>
      </c>
      <c r="L9" s="62" t="s">
        <v>788</v>
      </c>
      <c r="M9" s="12" t="s">
        <v>276</v>
      </c>
      <c r="N9" s="12"/>
      <c r="O9" s="63" t="str">
        <f>"135,0"</f>
        <v>135,0</v>
      </c>
      <c r="P9" s="62" t="str">
        <f>"81,2493"</f>
        <v>81,2493</v>
      </c>
      <c r="Q9" s="61" t="s">
        <v>87</v>
      </c>
    </row>
    <row r="11" ht="15">
      <c r="E11" s="8" t="s">
        <v>13</v>
      </c>
    </row>
    <row r="12" ht="15">
      <c r="E12" s="8" t="s">
        <v>14</v>
      </c>
    </row>
    <row r="13" ht="15">
      <c r="E13" s="8" t="s">
        <v>15</v>
      </c>
    </row>
    <row r="14" ht="15">
      <c r="E14" s="8" t="s">
        <v>16</v>
      </c>
    </row>
    <row r="15" ht="15">
      <c r="E15" s="8" t="s">
        <v>16</v>
      </c>
    </row>
    <row r="16" ht="15">
      <c r="E16" s="8" t="s">
        <v>17</v>
      </c>
    </row>
    <row r="17" spans="1:5" s="53" customFormat="1" ht="15">
      <c r="A17" s="27"/>
      <c r="E17" s="8"/>
    </row>
    <row r="19" spans="1:5" s="53" customFormat="1" ht="18">
      <c r="A19" s="60" t="s">
        <v>18</v>
      </c>
      <c r="B19" s="59"/>
      <c r="E19" s="54"/>
    </row>
    <row r="20" spans="1:5" s="53" customFormat="1" ht="15">
      <c r="A20" s="58" t="s">
        <v>216</v>
      </c>
      <c r="B20" s="29"/>
      <c r="E20" s="54"/>
    </row>
    <row r="21" spans="1:5" s="53" customFormat="1" ht="14.25">
      <c r="A21" s="57"/>
      <c r="B21" s="56" t="s">
        <v>233</v>
      </c>
      <c r="E21" s="54"/>
    </row>
    <row r="22" spans="1:5" s="53" customFormat="1" ht="15">
      <c r="A22" s="26" t="s">
        <v>206</v>
      </c>
      <c r="B22" s="26" t="s">
        <v>207</v>
      </c>
      <c r="C22" s="26" t="s">
        <v>208</v>
      </c>
      <c r="D22" s="26" t="s">
        <v>209</v>
      </c>
      <c r="E22" s="26" t="s">
        <v>210</v>
      </c>
    </row>
    <row r="23" spans="1:5" s="53" customFormat="1" ht="12.75">
      <c r="A23" s="55" t="s">
        <v>109</v>
      </c>
      <c r="B23" s="53" t="s">
        <v>234</v>
      </c>
      <c r="C23" s="53" t="s">
        <v>62</v>
      </c>
      <c r="D23" s="53" t="s">
        <v>445</v>
      </c>
      <c r="E23" s="27" t="s">
        <v>787</v>
      </c>
    </row>
    <row r="25" spans="1:5" s="53" customFormat="1" ht="14.25">
      <c r="A25" s="57"/>
      <c r="B25" s="56" t="s">
        <v>259</v>
      </c>
      <c r="E25" s="54"/>
    </row>
    <row r="26" spans="1:5" s="53" customFormat="1" ht="15">
      <c r="A26" s="26" t="s">
        <v>206</v>
      </c>
      <c r="B26" s="26" t="s">
        <v>207</v>
      </c>
      <c r="C26" s="26" t="s">
        <v>208</v>
      </c>
      <c r="D26" s="26" t="s">
        <v>209</v>
      </c>
      <c r="E26" s="26" t="s">
        <v>210</v>
      </c>
    </row>
    <row r="27" spans="1:5" s="53" customFormat="1" ht="12.75">
      <c r="A27" s="55" t="s">
        <v>786</v>
      </c>
      <c r="B27" s="53" t="s">
        <v>339</v>
      </c>
      <c r="C27" s="53" t="s">
        <v>33</v>
      </c>
      <c r="D27" s="53" t="s">
        <v>47</v>
      </c>
      <c r="E27" s="27" t="s">
        <v>785</v>
      </c>
    </row>
  </sheetData>
  <sheetProtection/>
  <mergeCells count="14">
    <mergeCell ref="P3:P4"/>
    <mergeCell ref="Q3:Q4"/>
    <mergeCell ref="A5:P5"/>
    <mergeCell ref="A8:P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8.25390625" style="27" bestFit="1" customWidth="1"/>
    <col min="2" max="2" width="26.25390625" style="53" bestFit="1" customWidth="1"/>
    <col min="3" max="3" width="10.625" style="53" bestFit="1" customWidth="1"/>
    <col min="4" max="4" width="9.25390625" style="53" bestFit="1" customWidth="1"/>
    <col min="5" max="5" width="22.75390625" style="54" bestFit="1" customWidth="1"/>
    <col min="6" max="6" width="37.25390625" style="54" bestFit="1" customWidth="1"/>
    <col min="7" max="10" width="4.625" style="53" bestFit="1" customWidth="1"/>
    <col min="11" max="11" width="7.875" style="27" bestFit="1" customWidth="1"/>
    <col min="12" max="12" width="7.625" style="53" bestFit="1" customWidth="1"/>
    <col min="13" max="13" width="10.375" style="54" bestFit="1" customWidth="1"/>
    <col min="14" max="16384" width="9.125" style="53" customWidth="1"/>
  </cols>
  <sheetData>
    <row r="1" spans="1:13" ht="28.5" customHeight="1">
      <c r="A1" s="70" t="s">
        <v>800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8"/>
    </row>
    <row r="2" spans="1:13" ht="61.5" customHeight="1" thickBot="1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5"/>
    </row>
    <row r="3" spans="1:13" s="1" customFormat="1" ht="12.75" customHeight="1">
      <c r="A3" s="40" t="s">
        <v>0</v>
      </c>
      <c r="B3" s="42" t="s">
        <v>10</v>
      </c>
      <c r="C3" s="42" t="s">
        <v>794</v>
      </c>
      <c r="D3" s="44" t="s">
        <v>20</v>
      </c>
      <c r="E3" s="44" t="s">
        <v>7</v>
      </c>
      <c r="F3" s="44" t="s">
        <v>12</v>
      </c>
      <c r="G3" s="44" t="s">
        <v>792</v>
      </c>
      <c r="H3" s="44"/>
      <c r="I3" s="44"/>
      <c r="J3" s="44"/>
      <c r="K3" s="44" t="s">
        <v>531</v>
      </c>
      <c r="L3" s="44" t="s">
        <v>6</v>
      </c>
      <c r="M3" s="32" t="s">
        <v>5</v>
      </c>
    </row>
    <row r="4" spans="1:13" s="1" customFormat="1" ht="21" customHeight="1" thickBot="1">
      <c r="A4" s="41"/>
      <c r="B4" s="43"/>
      <c r="C4" s="43"/>
      <c r="D4" s="43"/>
      <c r="E4" s="43"/>
      <c r="F4" s="43"/>
      <c r="G4" s="64">
        <v>1</v>
      </c>
      <c r="H4" s="64">
        <v>2</v>
      </c>
      <c r="I4" s="64">
        <v>3</v>
      </c>
      <c r="J4" s="64" t="s">
        <v>8</v>
      </c>
      <c r="K4" s="43"/>
      <c r="L4" s="43"/>
      <c r="M4" s="33"/>
    </row>
    <row r="5" spans="1:12" ht="15">
      <c r="A5" s="45" t="s">
        <v>167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3" t="s">
        <v>301</v>
      </c>
      <c r="B6" s="62" t="s">
        <v>302</v>
      </c>
      <c r="C6" s="62" t="s">
        <v>303</v>
      </c>
      <c r="D6" s="62" t="str">
        <f>"0,5570"</f>
        <v>0,5570</v>
      </c>
      <c r="E6" s="61" t="s">
        <v>104</v>
      </c>
      <c r="F6" s="61" t="s">
        <v>105</v>
      </c>
      <c r="G6" s="62" t="s">
        <v>60</v>
      </c>
      <c r="H6" s="62" t="s">
        <v>799</v>
      </c>
      <c r="I6" s="62" t="s">
        <v>239</v>
      </c>
      <c r="J6" s="12"/>
      <c r="K6" s="63" t="str">
        <f>"67,5"</f>
        <v>67,5</v>
      </c>
      <c r="L6" s="62" t="str">
        <f>"37,5975"</f>
        <v>37,5975</v>
      </c>
      <c r="M6" s="61" t="s">
        <v>131</v>
      </c>
    </row>
    <row r="8" spans="1:12" ht="15">
      <c r="A8" s="48" t="s">
        <v>182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63" t="s">
        <v>798</v>
      </c>
      <c r="B9" s="62" t="s">
        <v>552</v>
      </c>
      <c r="C9" s="62" t="s">
        <v>553</v>
      </c>
      <c r="D9" s="62" t="str">
        <f>"0,5380"</f>
        <v>0,5380</v>
      </c>
      <c r="E9" s="61" t="s">
        <v>104</v>
      </c>
      <c r="F9" s="61" t="s">
        <v>105</v>
      </c>
      <c r="G9" s="62" t="s">
        <v>60</v>
      </c>
      <c r="H9" s="62" t="s">
        <v>48</v>
      </c>
      <c r="I9" s="62" t="s">
        <v>49</v>
      </c>
      <c r="J9" s="12"/>
      <c r="K9" s="63" t="str">
        <f>"70,0"</f>
        <v>70,0</v>
      </c>
      <c r="L9" s="62" t="str">
        <f>"37,6600"</f>
        <v>37,6600</v>
      </c>
      <c r="M9" s="61" t="s">
        <v>131</v>
      </c>
    </row>
    <row r="11" ht="15">
      <c r="E11" s="8" t="s">
        <v>13</v>
      </c>
    </row>
    <row r="12" ht="15">
      <c r="E12" s="8" t="s">
        <v>14</v>
      </c>
    </row>
    <row r="13" ht="15">
      <c r="E13" s="8" t="s">
        <v>15</v>
      </c>
    </row>
    <row r="14" ht="15">
      <c r="E14" s="8" t="s">
        <v>16</v>
      </c>
    </row>
    <row r="15" ht="15">
      <c r="E15" s="8" t="s">
        <v>16</v>
      </c>
    </row>
    <row r="16" ht="15">
      <c r="E16" s="8" t="s">
        <v>17</v>
      </c>
    </row>
    <row r="17" spans="1:5" s="53" customFormat="1" ht="15">
      <c r="A17" s="27"/>
      <c r="E17" s="8"/>
    </row>
    <row r="19" spans="1:5" s="53" customFormat="1" ht="18">
      <c r="A19" s="60" t="s">
        <v>18</v>
      </c>
      <c r="B19" s="59"/>
      <c r="E19" s="54"/>
    </row>
    <row r="20" spans="1:5" s="53" customFormat="1" ht="15">
      <c r="A20" s="58" t="s">
        <v>216</v>
      </c>
      <c r="B20" s="29"/>
      <c r="E20" s="54"/>
    </row>
    <row r="21" spans="1:5" s="53" customFormat="1" ht="14.25">
      <c r="A21" s="57"/>
      <c r="B21" s="56" t="s">
        <v>205</v>
      </c>
      <c r="E21" s="54"/>
    </row>
    <row r="22" spans="1:5" s="53" customFormat="1" ht="15">
      <c r="A22" s="26" t="s">
        <v>206</v>
      </c>
      <c r="B22" s="26" t="s">
        <v>207</v>
      </c>
      <c r="C22" s="26" t="s">
        <v>208</v>
      </c>
      <c r="D22" s="26" t="s">
        <v>209</v>
      </c>
      <c r="E22" s="26" t="s">
        <v>210</v>
      </c>
    </row>
    <row r="23" spans="1:5" s="53" customFormat="1" ht="12.75">
      <c r="A23" s="55" t="s">
        <v>550</v>
      </c>
      <c r="B23" s="53" t="s">
        <v>205</v>
      </c>
      <c r="C23" s="53" t="s">
        <v>69</v>
      </c>
      <c r="D23" s="53" t="s">
        <v>49</v>
      </c>
      <c r="E23" s="27" t="s">
        <v>797</v>
      </c>
    </row>
    <row r="24" spans="1:5" s="53" customFormat="1" ht="12.75">
      <c r="A24" s="55" t="s">
        <v>300</v>
      </c>
      <c r="B24" s="53" t="s">
        <v>205</v>
      </c>
      <c r="C24" s="53" t="s">
        <v>33</v>
      </c>
      <c r="D24" s="53" t="s">
        <v>239</v>
      </c>
      <c r="E24" s="27" t="s">
        <v>796</v>
      </c>
    </row>
  </sheetData>
  <sheetProtection/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8.25390625" style="27" bestFit="1" customWidth="1"/>
    <col min="2" max="2" width="28.375" style="53" bestFit="1" customWidth="1"/>
    <col min="3" max="3" width="10.625" style="53" bestFit="1" customWidth="1"/>
    <col min="4" max="4" width="9.25390625" style="53" bestFit="1" customWidth="1"/>
    <col min="5" max="5" width="22.75390625" style="54" bestFit="1" customWidth="1"/>
    <col min="6" max="6" width="34.625" style="54" bestFit="1" customWidth="1"/>
    <col min="7" max="10" width="4.625" style="53" bestFit="1" customWidth="1"/>
    <col min="11" max="11" width="7.875" style="27" bestFit="1" customWidth="1"/>
    <col min="12" max="12" width="7.625" style="53" bestFit="1" customWidth="1"/>
    <col min="13" max="13" width="8.875" style="54" bestFit="1" customWidth="1"/>
    <col min="14" max="16384" width="9.125" style="53" customWidth="1"/>
  </cols>
  <sheetData>
    <row r="1" spans="1:13" ht="28.5" customHeight="1">
      <c r="A1" s="70" t="s">
        <v>803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8"/>
    </row>
    <row r="2" spans="1:13" ht="61.5" customHeight="1" thickBot="1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5"/>
    </row>
    <row r="3" spans="1:13" s="1" customFormat="1" ht="12.75" customHeight="1">
      <c r="A3" s="40" t="s">
        <v>0</v>
      </c>
      <c r="B3" s="42" t="s">
        <v>10</v>
      </c>
      <c r="C3" s="42" t="s">
        <v>794</v>
      </c>
      <c r="D3" s="44" t="s">
        <v>20</v>
      </c>
      <c r="E3" s="44" t="s">
        <v>7</v>
      </c>
      <c r="F3" s="44" t="s">
        <v>12</v>
      </c>
      <c r="G3" s="44" t="s">
        <v>792</v>
      </c>
      <c r="H3" s="44"/>
      <c r="I3" s="44"/>
      <c r="J3" s="44"/>
      <c r="K3" s="44" t="s">
        <v>531</v>
      </c>
      <c r="L3" s="44" t="s">
        <v>6</v>
      </c>
      <c r="M3" s="32" t="s">
        <v>5</v>
      </c>
    </row>
    <row r="4" spans="1:13" s="1" customFormat="1" ht="21" customHeight="1" thickBot="1">
      <c r="A4" s="41"/>
      <c r="B4" s="43"/>
      <c r="C4" s="43"/>
      <c r="D4" s="43"/>
      <c r="E4" s="43"/>
      <c r="F4" s="43"/>
      <c r="G4" s="64">
        <v>1</v>
      </c>
      <c r="H4" s="64">
        <v>2</v>
      </c>
      <c r="I4" s="64">
        <v>3</v>
      </c>
      <c r="J4" s="64" t="s">
        <v>8</v>
      </c>
      <c r="K4" s="43"/>
      <c r="L4" s="43"/>
      <c r="M4" s="33"/>
    </row>
    <row r="5" spans="1:12" ht="15">
      <c r="A5" s="45" t="s">
        <v>73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3" t="s">
        <v>642</v>
      </c>
      <c r="B6" s="62" t="s">
        <v>643</v>
      </c>
      <c r="C6" s="62" t="s">
        <v>644</v>
      </c>
      <c r="D6" s="62" t="str">
        <f>"0,7377"</f>
        <v>0,7377</v>
      </c>
      <c r="E6" s="61" t="s">
        <v>84</v>
      </c>
      <c r="F6" s="61" t="s">
        <v>298</v>
      </c>
      <c r="G6" s="62" t="s">
        <v>359</v>
      </c>
      <c r="H6" s="62" t="s">
        <v>353</v>
      </c>
      <c r="I6" s="62" t="s">
        <v>60</v>
      </c>
      <c r="J6" s="12"/>
      <c r="K6" s="63" t="str">
        <f>"55,0"</f>
        <v>55,0</v>
      </c>
      <c r="L6" s="62" t="str">
        <f>"40,5735"</f>
        <v>40,5735</v>
      </c>
      <c r="M6" s="61" t="s">
        <v>87</v>
      </c>
    </row>
    <row r="8" spans="1:12" ht="15">
      <c r="A8" s="48" t="s">
        <v>40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63" t="s">
        <v>411</v>
      </c>
      <c r="B9" s="62" t="s">
        <v>111</v>
      </c>
      <c r="C9" s="62" t="s">
        <v>91</v>
      </c>
      <c r="D9" s="62" t="str">
        <f>"0,6645"</f>
        <v>0,6645</v>
      </c>
      <c r="E9" s="61" t="s">
        <v>84</v>
      </c>
      <c r="F9" s="61" t="s">
        <v>112</v>
      </c>
      <c r="G9" s="62" t="s">
        <v>352</v>
      </c>
      <c r="H9" s="62" t="s">
        <v>353</v>
      </c>
      <c r="I9" s="62" t="s">
        <v>60</v>
      </c>
      <c r="J9" s="12"/>
      <c r="K9" s="63" t="str">
        <f>"55,0"</f>
        <v>55,0</v>
      </c>
      <c r="L9" s="62" t="str">
        <f>"36,5475"</f>
        <v>36,5475</v>
      </c>
      <c r="M9" s="61" t="s">
        <v>87</v>
      </c>
    </row>
    <row r="11" ht="15">
      <c r="E11" s="8" t="s">
        <v>13</v>
      </c>
    </row>
    <row r="12" ht="15">
      <c r="E12" s="8" t="s">
        <v>14</v>
      </c>
    </row>
    <row r="13" ht="15">
      <c r="E13" s="8" t="s">
        <v>15</v>
      </c>
    </row>
    <row r="14" ht="15">
      <c r="E14" s="8" t="s">
        <v>16</v>
      </c>
    </row>
    <row r="15" ht="15">
      <c r="E15" s="8" t="s">
        <v>16</v>
      </c>
    </row>
    <row r="16" ht="15">
      <c r="E16" s="8" t="s">
        <v>17</v>
      </c>
    </row>
    <row r="17" spans="1:5" s="53" customFormat="1" ht="15">
      <c r="A17" s="27"/>
      <c r="E17" s="8"/>
    </row>
    <row r="19" spans="1:5" s="53" customFormat="1" ht="18">
      <c r="A19" s="60" t="s">
        <v>18</v>
      </c>
      <c r="B19" s="59"/>
      <c r="E19" s="54"/>
    </row>
    <row r="20" spans="1:5" s="53" customFormat="1" ht="15">
      <c r="A20" s="58" t="s">
        <v>216</v>
      </c>
      <c r="B20" s="29"/>
      <c r="E20" s="54"/>
    </row>
    <row r="21" spans="1:5" s="53" customFormat="1" ht="14.25">
      <c r="A21" s="57"/>
      <c r="B21" s="56" t="s">
        <v>233</v>
      </c>
      <c r="E21" s="54"/>
    </row>
    <row r="22" spans="1:5" s="53" customFormat="1" ht="15">
      <c r="A22" s="26" t="s">
        <v>206</v>
      </c>
      <c r="B22" s="26" t="s">
        <v>207</v>
      </c>
      <c r="C22" s="26" t="s">
        <v>208</v>
      </c>
      <c r="D22" s="26" t="s">
        <v>209</v>
      </c>
      <c r="E22" s="26" t="s">
        <v>210</v>
      </c>
    </row>
    <row r="23" spans="1:5" s="53" customFormat="1" ht="12.75">
      <c r="A23" s="55" t="s">
        <v>109</v>
      </c>
      <c r="B23" s="53" t="s">
        <v>234</v>
      </c>
      <c r="C23" s="53" t="s">
        <v>62</v>
      </c>
      <c r="D23" s="53" t="s">
        <v>60</v>
      </c>
      <c r="E23" s="27" t="s">
        <v>802</v>
      </c>
    </row>
    <row r="25" spans="1:5" s="53" customFormat="1" ht="14.25">
      <c r="A25" s="57"/>
      <c r="B25" s="56" t="s">
        <v>205</v>
      </c>
      <c r="E25" s="54"/>
    </row>
    <row r="26" spans="1:5" s="53" customFormat="1" ht="15">
      <c r="A26" s="26" t="s">
        <v>206</v>
      </c>
      <c r="B26" s="26" t="s">
        <v>207</v>
      </c>
      <c r="C26" s="26" t="s">
        <v>208</v>
      </c>
      <c r="D26" s="26" t="s">
        <v>209</v>
      </c>
      <c r="E26" s="26" t="s">
        <v>210</v>
      </c>
    </row>
    <row r="27" spans="1:5" s="53" customFormat="1" ht="12.75">
      <c r="A27" s="55" t="s">
        <v>641</v>
      </c>
      <c r="B27" s="53" t="s">
        <v>205</v>
      </c>
      <c r="C27" s="53" t="s">
        <v>239</v>
      </c>
      <c r="D27" s="53" t="s">
        <v>60</v>
      </c>
      <c r="E27" s="27" t="s">
        <v>801</v>
      </c>
    </row>
  </sheetData>
  <sheetProtection/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8.25390625" style="27" bestFit="1" customWidth="1"/>
    <col min="2" max="2" width="28.375" style="53" bestFit="1" customWidth="1"/>
    <col min="3" max="3" width="10.625" style="53" bestFit="1" customWidth="1"/>
    <col min="4" max="4" width="9.25390625" style="53" bestFit="1" customWidth="1"/>
    <col min="5" max="5" width="22.75390625" style="54" bestFit="1" customWidth="1"/>
    <col min="6" max="6" width="34.625" style="54" bestFit="1" customWidth="1"/>
    <col min="7" max="8" width="4.625" style="53" bestFit="1" customWidth="1"/>
    <col min="9" max="9" width="2.125" style="53" bestFit="1" customWidth="1"/>
    <col min="10" max="10" width="4.625" style="53" bestFit="1" customWidth="1"/>
    <col min="11" max="11" width="7.875" style="27" bestFit="1" customWidth="1"/>
    <col min="12" max="12" width="7.625" style="53" bestFit="1" customWidth="1"/>
    <col min="13" max="13" width="8.875" style="54" bestFit="1" customWidth="1"/>
    <col min="14" max="16384" width="9.125" style="53" customWidth="1"/>
  </cols>
  <sheetData>
    <row r="1" spans="1:13" ht="28.5" customHeight="1">
      <c r="A1" s="70" t="s">
        <v>805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8"/>
    </row>
    <row r="2" spans="1:13" ht="61.5" customHeight="1" thickBot="1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5"/>
    </row>
    <row r="3" spans="1:13" s="1" customFormat="1" ht="12.75" customHeight="1">
      <c r="A3" s="40" t="s">
        <v>0</v>
      </c>
      <c r="B3" s="42" t="s">
        <v>10</v>
      </c>
      <c r="C3" s="42" t="s">
        <v>794</v>
      </c>
      <c r="D3" s="44" t="s">
        <v>20</v>
      </c>
      <c r="E3" s="44" t="s">
        <v>7</v>
      </c>
      <c r="F3" s="44" t="s">
        <v>12</v>
      </c>
      <c r="G3" s="44" t="s">
        <v>793</v>
      </c>
      <c r="H3" s="44"/>
      <c r="I3" s="44"/>
      <c r="J3" s="44"/>
      <c r="K3" s="44" t="s">
        <v>531</v>
      </c>
      <c r="L3" s="44" t="s">
        <v>6</v>
      </c>
      <c r="M3" s="32" t="s">
        <v>5</v>
      </c>
    </row>
    <row r="4" spans="1:13" s="1" customFormat="1" ht="21" customHeight="1" thickBot="1">
      <c r="A4" s="41"/>
      <c r="B4" s="43"/>
      <c r="C4" s="43"/>
      <c r="D4" s="43"/>
      <c r="E4" s="43"/>
      <c r="F4" s="43"/>
      <c r="G4" s="64">
        <v>1</v>
      </c>
      <c r="H4" s="64">
        <v>2</v>
      </c>
      <c r="I4" s="64">
        <v>3</v>
      </c>
      <c r="J4" s="64" t="s">
        <v>8</v>
      </c>
      <c r="K4" s="43"/>
      <c r="L4" s="43"/>
      <c r="M4" s="33"/>
    </row>
    <row r="5" spans="1:12" ht="15">
      <c r="A5" s="45" t="s">
        <v>40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3" t="s">
        <v>411</v>
      </c>
      <c r="B6" s="62" t="s">
        <v>111</v>
      </c>
      <c r="C6" s="62" t="s">
        <v>91</v>
      </c>
      <c r="D6" s="62" t="str">
        <f>"0,6645"</f>
        <v>0,6645</v>
      </c>
      <c r="E6" s="61" t="s">
        <v>84</v>
      </c>
      <c r="F6" s="61" t="s">
        <v>112</v>
      </c>
      <c r="G6" s="62" t="s">
        <v>276</v>
      </c>
      <c r="H6" s="62" t="s">
        <v>239</v>
      </c>
      <c r="I6" s="12"/>
      <c r="J6" s="12"/>
      <c r="K6" s="63" t="str">
        <f>"67,5"</f>
        <v>67,5</v>
      </c>
      <c r="L6" s="62" t="str">
        <f>"44,8537"</f>
        <v>44,8537</v>
      </c>
      <c r="M6" s="61" t="s">
        <v>87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60" t="s">
        <v>18</v>
      </c>
      <c r="B16" s="59"/>
    </row>
    <row r="17" spans="1:5" s="53" customFormat="1" ht="15">
      <c r="A17" s="58" t="s">
        <v>216</v>
      </c>
      <c r="B17" s="29"/>
      <c r="E17" s="54"/>
    </row>
    <row r="18" spans="1:5" s="53" customFormat="1" ht="14.25">
      <c r="A18" s="57"/>
      <c r="B18" s="56" t="s">
        <v>233</v>
      </c>
      <c r="E18" s="54"/>
    </row>
    <row r="19" spans="1:5" s="53" customFormat="1" ht="15">
      <c r="A19" s="26" t="s">
        <v>206</v>
      </c>
      <c r="B19" s="26" t="s">
        <v>207</v>
      </c>
      <c r="C19" s="26" t="s">
        <v>208</v>
      </c>
      <c r="D19" s="26" t="s">
        <v>209</v>
      </c>
      <c r="E19" s="26" t="s">
        <v>210</v>
      </c>
    </row>
    <row r="20" spans="1:5" s="53" customFormat="1" ht="12.75">
      <c r="A20" s="55" t="s">
        <v>109</v>
      </c>
      <c r="B20" s="53" t="s">
        <v>234</v>
      </c>
      <c r="C20" s="53" t="s">
        <v>62</v>
      </c>
      <c r="D20" s="53" t="s">
        <v>239</v>
      </c>
      <c r="E20" s="27" t="s">
        <v>804</v>
      </c>
    </row>
  </sheetData>
  <sheetProtection/>
  <mergeCells count="12">
    <mergeCell ref="F3:F4"/>
    <mergeCell ref="E3:E4"/>
    <mergeCell ref="A5:L5"/>
    <mergeCell ref="D3:D4"/>
    <mergeCell ref="K3:K4"/>
    <mergeCell ref="L3:L4"/>
    <mergeCell ref="A1:M2"/>
    <mergeCell ref="G3:J3"/>
    <mergeCell ref="A3:A4"/>
    <mergeCell ref="B3:B4"/>
    <mergeCell ref="C3:C4"/>
    <mergeCell ref="M3:M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9.875" style="4" bestFit="1" customWidth="1"/>
    <col min="7" max="7" width="4.625" style="3" bestFit="1" customWidth="1"/>
    <col min="8" max="8" width="4.625" style="50" bestFit="1" customWidth="1"/>
    <col min="9" max="9" width="7.875" style="4" bestFit="1" customWidth="1"/>
    <col min="10" max="10" width="7.625" style="3" bestFit="1" customWidth="1"/>
    <col min="11" max="11" width="11.00390625" style="4" bestFit="1" customWidth="1"/>
    <col min="12" max="16384" width="9.125" style="3" customWidth="1"/>
  </cols>
  <sheetData>
    <row r="1" spans="1:11" s="2" customFormat="1" ht="28.5" customHeight="1">
      <c r="A1" s="47" t="s">
        <v>844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s="1" customFormat="1" ht="12.75" customHeight="1">
      <c r="A3" s="40" t="s">
        <v>0</v>
      </c>
      <c r="B3" s="42" t="s">
        <v>10</v>
      </c>
      <c r="C3" s="42" t="s">
        <v>11</v>
      </c>
      <c r="D3" s="44" t="s">
        <v>843</v>
      </c>
      <c r="E3" s="44" t="s">
        <v>7</v>
      </c>
      <c r="F3" s="44" t="s">
        <v>12</v>
      </c>
      <c r="G3" s="44" t="s">
        <v>763</v>
      </c>
      <c r="H3" s="44"/>
      <c r="I3" s="44" t="s">
        <v>762</v>
      </c>
      <c r="J3" s="44" t="s">
        <v>6</v>
      </c>
      <c r="K3" s="32" t="s">
        <v>5</v>
      </c>
    </row>
    <row r="4" spans="1:11" s="1" customFormat="1" ht="21" customHeight="1" thickBot="1">
      <c r="A4" s="41"/>
      <c r="B4" s="43"/>
      <c r="C4" s="43"/>
      <c r="D4" s="43"/>
      <c r="E4" s="43"/>
      <c r="F4" s="43"/>
      <c r="G4" s="28" t="s">
        <v>761</v>
      </c>
      <c r="H4" s="52" t="s">
        <v>760</v>
      </c>
      <c r="I4" s="43"/>
      <c r="J4" s="43"/>
      <c r="K4" s="33"/>
    </row>
    <row r="5" spans="1:10" ht="15">
      <c r="A5" s="45" t="s">
        <v>842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3" t="s">
        <v>841</v>
      </c>
      <c r="B6" s="13" t="s">
        <v>840</v>
      </c>
      <c r="C6" s="13" t="s">
        <v>839</v>
      </c>
      <c r="D6" s="13" t="str">
        <f>"1,0000"</f>
        <v>1,0000</v>
      </c>
      <c r="E6" s="13" t="s">
        <v>358</v>
      </c>
      <c r="F6" s="13" t="s">
        <v>298</v>
      </c>
      <c r="G6" s="14" t="s">
        <v>60</v>
      </c>
      <c r="H6" s="73" t="s">
        <v>838</v>
      </c>
      <c r="I6" s="13" t="str">
        <f>"1430,0"</f>
        <v>1430,0</v>
      </c>
      <c r="J6" s="14" t="str">
        <f>"15,5773"</f>
        <v>15,5773</v>
      </c>
      <c r="K6" s="13" t="s">
        <v>823</v>
      </c>
    </row>
    <row r="7" spans="1:11" ht="12.75">
      <c r="A7" s="19" t="s">
        <v>837</v>
      </c>
      <c r="B7" s="19" t="s">
        <v>836</v>
      </c>
      <c r="C7" s="19" t="s">
        <v>432</v>
      </c>
      <c r="D7" s="19" t="str">
        <f>"1,0000"</f>
        <v>1,0000</v>
      </c>
      <c r="E7" s="19" t="s">
        <v>358</v>
      </c>
      <c r="F7" s="19" t="s">
        <v>298</v>
      </c>
      <c r="G7" s="20" t="s">
        <v>60</v>
      </c>
      <c r="H7" s="72" t="s">
        <v>835</v>
      </c>
      <c r="I7" s="19" t="str">
        <f>"4290,0"</f>
        <v>4290,0</v>
      </c>
      <c r="J7" s="20" t="str">
        <f>"49,4239"</f>
        <v>49,4239</v>
      </c>
      <c r="K7" s="19" t="s">
        <v>87</v>
      </c>
    </row>
    <row r="8" spans="1:11" ht="12.75">
      <c r="A8" s="19" t="s">
        <v>834</v>
      </c>
      <c r="B8" s="19" t="s">
        <v>833</v>
      </c>
      <c r="C8" s="19" t="s">
        <v>832</v>
      </c>
      <c r="D8" s="19" t="str">
        <f>"1,0000"</f>
        <v>1,0000</v>
      </c>
      <c r="E8" s="19" t="s">
        <v>358</v>
      </c>
      <c r="F8" s="19" t="s">
        <v>298</v>
      </c>
      <c r="G8" s="20" t="s">
        <v>60</v>
      </c>
      <c r="H8" s="72" t="s">
        <v>831</v>
      </c>
      <c r="I8" s="19" t="str">
        <f>"3190,0"</f>
        <v>3190,0</v>
      </c>
      <c r="J8" s="20" t="str">
        <f>"44,0607"</f>
        <v>44,0607</v>
      </c>
      <c r="K8" s="19" t="s">
        <v>87</v>
      </c>
    </row>
    <row r="9" spans="1:11" ht="12.75">
      <c r="A9" s="19" t="s">
        <v>830</v>
      </c>
      <c r="B9" s="19" t="s">
        <v>829</v>
      </c>
      <c r="C9" s="19" t="s">
        <v>828</v>
      </c>
      <c r="D9" s="19" t="str">
        <f>"1,0000"</f>
        <v>1,0000</v>
      </c>
      <c r="E9" s="19" t="s">
        <v>84</v>
      </c>
      <c r="F9" s="19" t="s">
        <v>827</v>
      </c>
      <c r="G9" s="20" t="s">
        <v>60</v>
      </c>
      <c r="H9" s="72" t="s">
        <v>106</v>
      </c>
      <c r="I9" s="19" t="str">
        <f>"4400,0"</f>
        <v>4400,0</v>
      </c>
      <c r="J9" s="20" t="str">
        <f>"42,1860"</f>
        <v>42,1860</v>
      </c>
      <c r="K9" s="19" t="s">
        <v>87</v>
      </c>
    </row>
    <row r="10" spans="1:11" ht="12.75">
      <c r="A10" s="16" t="s">
        <v>826</v>
      </c>
      <c r="B10" s="16" t="s">
        <v>825</v>
      </c>
      <c r="C10" s="16" t="s">
        <v>824</v>
      </c>
      <c r="D10" s="16" t="str">
        <f>"1,0000"</f>
        <v>1,0000</v>
      </c>
      <c r="E10" s="16" t="s">
        <v>358</v>
      </c>
      <c r="F10" s="16" t="s">
        <v>298</v>
      </c>
      <c r="G10" s="18" t="s">
        <v>60</v>
      </c>
      <c r="H10" s="71" t="s">
        <v>59</v>
      </c>
      <c r="I10" s="16" t="str">
        <f>"2750,0"</f>
        <v>2750,0</v>
      </c>
      <c r="J10" s="18" t="str">
        <f>"29,1932"</f>
        <v>29,1932</v>
      </c>
      <c r="K10" s="16" t="s">
        <v>823</v>
      </c>
    </row>
    <row r="12" ht="15">
      <c r="E12" s="8" t="s">
        <v>13</v>
      </c>
    </row>
    <row r="13" ht="15">
      <c r="E13" s="8" t="s">
        <v>14</v>
      </c>
    </row>
    <row r="14" ht="15">
      <c r="E14" s="8" t="s">
        <v>15</v>
      </c>
    </row>
    <row r="15" ht="15">
      <c r="E15" s="8" t="s">
        <v>16</v>
      </c>
    </row>
    <row r="16" ht="15">
      <c r="E16" s="8" t="s">
        <v>16</v>
      </c>
    </row>
    <row r="17" spans="1:5" s="3" customFormat="1" ht="15">
      <c r="A17" s="4"/>
      <c r="B17" s="4"/>
      <c r="C17" s="4"/>
      <c r="D17" s="4"/>
      <c r="E17" s="8" t="s">
        <v>17</v>
      </c>
    </row>
    <row r="18" spans="1:5" s="3" customFormat="1" ht="15">
      <c r="A18" s="4"/>
      <c r="B18" s="4"/>
      <c r="C18" s="4"/>
      <c r="D18" s="4"/>
      <c r="E18" s="8"/>
    </row>
    <row r="20" spans="1:5" s="3" customFormat="1" ht="18">
      <c r="A20" s="9" t="s">
        <v>18</v>
      </c>
      <c r="B20" s="9"/>
      <c r="C20" s="4"/>
      <c r="D20" s="4"/>
      <c r="E20" s="4"/>
    </row>
    <row r="21" spans="1:5" s="3" customFormat="1" ht="15">
      <c r="A21" s="22" t="s">
        <v>216</v>
      </c>
      <c r="B21" s="22"/>
      <c r="C21" s="4"/>
      <c r="D21" s="4"/>
      <c r="E21" s="4"/>
    </row>
    <row r="22" spans="1:5" s="3" customFormat="1" ht="14.25">
      <c r="A22" s="24"/>
      <c r="B22" s="25" t="s">
        <v>217</v>
      </c>
      <c r="C22" s="4"/>
      <c r="D22" s="4"/>
      <c r="E22" s="4"/>
    </row>
    <row r="23" spans="1:5" s="3" customFormat="1" ht="15">
      <c r="A23" s="26" t="s">
        <v>206</v>
      </c>
      <c r="B23" s="26" t="s">
        <v>207</v>
      </c>
      <c r="C23" s="26" t="s">
        <v>208</v>
      </c>
      <c r="D23" s="26" t="s">
        <v>209</v>
      </c>
      <c r="E23" s="26" t="s">
        <v>813</v>
      </c>
    </row>
    <row r="24" spans="1:5" s="3" customFormat="1" ht="12.75">
      <c r="A24" s="23" t="s">
        <v>822</v>
      </c>
      <c r="B24" s="4" t="s">
        <v>218</v>
      </c>
      <c r="C24" s="4" t="s">
        <v>808</v>
      </c>
      <c r="D24" s="4" t="s">
        <v>821</v>
      </c>
      <c r="E24" s="27" t="s">
        <v>820</v>
      </c>
    </row>
    <row r="26" spans="1:5" s="3" customFormat="1" ht="14.25">
      <c r="A26" s="24"/>
      <c r="B26" s="25" t="s">
        <v>205</v>
      </c>
      <c r="C26" s="4"/>
      <c r="D26" s="4"/>
      <c r="E26" s="4"/>
    </row>
    <row r="27" spans="1:5" s="3" customFormat="1" ht="15">
      <c r="A27" s="26" t="s">
        <v>206</v>
      </c>
      <c r="B27" s="26" t="s">
        <v>207</v>
      </c>
      <c r="C27" s="26" t="s">
        <v>208</v>
      </c>
      <c r="D27" s="26" t="s">
        <v>209</v>
      </c>
      <c r="E27" s="26" t="s">
        <v>813</v>
      </c>
    </row>
    <row r="28" spans="1:5" s="3" customFormat="1" ht="12.75">
      <c r="A28" s="23" t="s">
        <v>819</v>
      </c>
      <c r="B28" s="4" t="s">
        <v>205</v>
      </c>
      <c r="C28" s="4" t="s">
        <v>808</v>
      </c>
      <c r="D28" s="4" t="s">
        <v>818</v>
      </c>
      <c r="E28" s="27" t="s">
        <v>817</v>
      </c>
    </row>
    <row r="29" spans="1:5" s="3" customFormat="1" ht="12.75">
      <c r="A29" s="23" t="s">
        <v>816</v>
      </c>
      <c r="B29" s="4" t="s">
        <v>205</v>
      </c>
      <c r="C29" s="4" t="s">
        <v>808</v>
      </c>
      <c r="D29" s="4" t="s">
        <v>815</v>
      </c>
      <c r="E29" s="27" t="s">
        <v>814</v>
      </c>
    </row>
    <row r="31" spans="1:5" s="3" customFormat="1" ht="14.25">
      <c r="A31" s="24"/>
      <c r="B31" s="25" t="s">
        <v>259</v>
      </c>
      <c r="C31" s="4"/>
      <c r="D31" s="4"/>
      <c r="E31" s="4"/>
    </row>
    <row r="32" spans="1:5" s="3" customFormat="1" ht="15">
      <c r="A32" s="26" t="s">
        <v>206</v>
      </c>
      <c r="B32" s="26" t="s">
        <v>207</v>
      </c>
      <c r="C32" s="26" t="s">
        <v>208</v>
      </c>
      <c r="D32" s="26" t="s">
        <v>209</v>
      </c>
      <c r="E32" s="26" t="s">
        <v>813</v>
      </c>
    </row>
    <row r="33" spans="1:5" s="3" customFormat="1" ht="12.75">
      <c r="A33" s="23" t="s">
        <v>812</v>
      </c>
      <c r="B33" s="4" t="s">
        <v>497</v>
      </c>
      <c r="C33" s="4" t="s">
        <v>808</v>
      </c>
      <c r="D33" s="4" t="s">
        <v>811</v>
      </c>
      <c r="E33" s="27" t="s">
        <v>810</v>
      </c>
    </row>
    <row r="34" spans="1:5" s="3" customFormat="1" ht="12.75">
      <c r="A34" s="23" t="s">
        <v>809</v>
      </c>
      <c r="B34" s="4" t="s">
        <v>497</v>
      </c>
      <c r="C34" s="4" t="s">
        <v>808</v>
      </c>
      <c r="D34" s="4" t="s">
        <v>807</v>
      </c>
      <c r="E34" s="27" t="s">
        <v>806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8" width="4.625" style="3" bestFit="1" customWidth="1"/>
    <col min="9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1.625" style="4" bestFit="1" customWidth="1"/>
    <col min="14" max="16384" width="9.125" style="3" customWidth="1"/>
  </cols>
  <sheetData>
    <row r="1" spans="1:13" s="2" customFormat="1" ht="28.5" customHeight="1">
      <c r="A1" s="47" t="s">
        <v>739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0</v>
      </c>
      <c r="B3" s="42" t="s">
        <v>10</v>
      </c>
      <c r="C3" s="42" t="s">
        <v>11</v>
      </c>
      <c r="D3" s="44" t="s">
        <v>20</v>
      </c>
      <c r="E3" s="44" t="s">
        <v>7</v>
      </c>
      <c r="F3" s="44" t="s">
        <v>12</v>
      </c>
      <c r="G3" s="44" t="s">
        <v>21</v>
      </c>
      <c r="H3" s="44"/>
      <c r="I3" s="44"/>
      <c r="J3" s="44"/>
      <c r="K3" s="44" t="s">
        <v>531</v>
      </c>
      <c r="L3" s="44" t="s">
        <v>6</v>
      </c>
      <c r="M3" s="32" t="s">
        <v>5</v>
      </c>
    </row>
    <row r="4" spans="1:13" s="1" customFormat="1" ht="21" customHeight="1" thickBot="1">
      <c r="A4" s="41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8</v>
      </c>
      <c r="K4" s="43"/>
      <c r="L4" s="43"/>
      <c r="M4" s="33"/>
    </row>
    <row r="5" spans="1:12" ht="15">
      <c r="A5" s="45" t="s">
        <v>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0" t="s">
        <v>26</v>
      </c>
      <c r="B6" s="10" t="s">
        <v>27</v>
      </c>
      <c r="C6" s="10" t="s">
        <v>28</v>
      </c>
      <c r="D6" s="10" t="str">
        <f>"0,9369"</f>
        <v>0,9369</v>
      </c>
      <c r="E6" s="10" t="s">
        <v>29</v>
      </c>
      <c r="F6" s="10" t="s">
        <v>30</v>
      </c>
      <c r="G6" s="11" t="s">
        <v>31</v>
      </c>
      <c r="H6" s="11" t="s">
        <v>32</v>
      </c>
      <c r="I6" s="12" t="s">
        <v>33</v>
      </c>
      <c r="J6" s="12"/>
      <c r="K6" s="10" t="str">
        <f>"95,0"</f>
        <v>95,0</v>
      </c>
      <c r="L6" s="11" t="str">
        <f>"89,0055"</f>
        <v>89,0055</v>
      </c>
      <c r="M6" s="10" t="s">
        <v>39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22" t="s">
        <v>204</v>
      </c>
      <c r="B17" s="22"/>
    </row>
    <row r="18" spans="1:2" ht="14.25">
      <c r="A18" s="24"/>
      <c r="B18" s="25" t="s">
        <v>205</v>
      </c>
    </row>
    <row r="19" spans="1:5" ht="15">
      <c r="A19" s="26" t="s">
        <v>206</v>
      </c>
      <c r="B19" s="26" t="s">
        <v>207</v>
      </c>
      <c r="C19" s="26" t="s">
        <v>208</v>
      </c>
      <c r="D19" s="26" t="s">
        <v>209</v>
      </c>
      <c r="E19" s="26" t="s">
        <v>210</v>
      </c>
    </row>
    <row r="20" spans="1:5" ht="12.75">
      <c r="A20" s="23" t="s">
        <v>25</v>
      </c>
      <c r="B20" s="4" t="s">
        <v>205</v>
      </c>
      <c r="C20" s="4" t="s">
        <v>213</v>
      </c>
      <c r="D20" s="4" t="s">
        <v>32</v>
      </c>
      <c r="E20" s="27" t="s">
        <v>740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3.625" style="4" bestFit="1" customWidth="1"/>
    <col min="7" max="7" width="4.625" style="3" bestFit="1" customWidth="1"/>
    <col min="8" max="8" width="4.625" style="50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7" t="s">
        <v>848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s="1" customFormat="1" ht="12.75" customHeight="1">
      <c r="A3" s="40" t="s">
        <v>0</v>
      </c>
      <c r="B3" s="42" t="s">
        <v>10</v>
      </c>
      <c r="C3" s="42" t="s">
        <v>11</v>
      </c>
      <c r="D3" s="44" t="s">
        <v>843</v>
      </c>
      <c r="E3" s="44" t="s">
        <v>7</v>
      </c>
      <c r="F3" s="44" t="s">
        <v>12</v>
      </c>
      <c r="G3" s="44" t="s">
        <v>763</v>
      </c>
      <c r="H3" s="44"/>
      <c r="I3" s="44" t="s">
        <v>762</v>
      </c>
      <c r="J3" s="44" t="s">
        <v>6</v>
      </c>
      <c r="K3" s="32" t="s">
        <v>5</v>
      </c>
    </row>
    <row r="4" spans="1:11" s="1" customFormat="1" ht="21" customHeight="1" thickBot="1">
      <c r="A4" s="41"/>
      <c r="B4" s="43"/>
      <c r="C4" s="43"/>
      <c r="D4" s="43"/>
      <c r="E4" s="43"/>
      <c r="F4" s="43"/>
      <c r="G4" s="28" t="s">
        <v>761</v>
      </c>
      <c r="H4" s="52" t="s">
        <v>760</v>
      </c>
      <c r="I4" s="43"/>
      <c r="J4" s="43"/>
      <c r="K4" s="33"/>
    </row>
    <row r="5" spans="1:10" ht="15">
      <c r="A5" s="45" t="s">
        <v>842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0" t="s">
        <v>348</v>
      </c>
      <c r="B6" s="10" t="s">
        <v>349</v>
      </c>
      <c r="C6" s="10" t="s">
        <v>350</v>
      </c>
      <c r="D6" s="10" t="str">
        <f>"1,0000"</f>
        <v>1,0000</v>
      </c>
      <c r="E6" s="10" t="s">
        <v>84</v>
      </c>
      <c r="F6" s="10" t="s">
        <v>351</v>
      </c>
      <c r="G6" s="11" t="s">
        <v>34</v>
      </c>
      <c r="H6" s="51" t="s">
        <v>847</v>
      </c>
      <c r="I6" s="10" t="str">
        <f>"665,0"</f>
        <v>665,0</v>
      </c>
      <c r="J6" s="11" t="str">
        <f>"13,3000"</f>
        <v>13,3000</v>
      </c>
      <c r="K6" s="10" t="s">
        <v>87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5" s="3" customFormat="1" ht="15">
      <c r="A17" s="22" t="s">
        <v>204</v>
      </c>
      <c r="B17" s="22"/>
      <c r="C17" s="4"/>
      <c r="D17" s="4"/>
      <c r="E17" s="4"/>
    </row>
    <row r="18" spans="1:5" s="3" customFormat="1" ht="14.25">
      <c r="A18" s="24"/>
      <c r="B18" s="25" t="s">
        <v>205</v>
      </c>
      <c r="C18" s="4"/>
      <c r="D18" s="4"/>
      <c r="E18" s="4"/>
    </row>
    <row r="19" spans="1:5" s="3" customFormat="1" ht="15">
      <c r="A19" s="26" t="s">
        <v>206</v>
      </c>
      <c r="B19" s="26" t="s">
        <v>207</v>
      </c>
      <c r="C19" s="26" t="s">
        <v>208</v>
      </c>
      <c r="D19" s="26" t="s">
        <v>209</v>
      </c>
      <c r="E19" s="26" t="s">
        <v>813</v>
      </c>
    </row>
    <row r="20" spans="1:5" s="3" customFormat="1" ht="12.75">
      <c r="A20" s="23" t="s">
        <v>347</v>
      </c>
      <c r="B20" s="4" t="s">
        <v>205</v>
      </c>
      <c r="C20" s="4" t="s">
        <v>808</v>
      </c>
      <c r="D20" s="4" t="s">
        <v>846</v>
      </c>
      <c r="E20" s="27" t="s">
        <v>845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4">
      <selection activeCell="A27" sqref="A27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1.75390625" style="4" bestFit="1" customWidth="1"/>
    <col min="14" max="16384" width="9.125" style="3" customWidth="1"/>
  </cols>
  <sheetData>
    <row r="1" spans="1:13" s="2" customFormat="1" ht="28.5" customHeight="1">
      <c r="A1" s="47" t="s">
        <v>699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0</v>
      </c>
      <c r="B3" s="42" t="s">
        <v>10</v>
      </c>
      <c r="C3" s="42" t="s">
        <v>11</v>
      </c>
      <c r="D3" s="44" t="s">
        <v>20</v>
      </c>
      <c r="E3" s="44" t="s">
        <v>7</v>
      </c>
      <c r="F3" s="44" t="s">
        <v>12</v>
      </c>
      <c r="G3" s="44" t="s">
        <v>23</v>
      </c>
      <c r="H3" s="44"/>
      <c r="I3" s="44"/>
      <c r="J3" s="44"/>
      <c r="K3" s="44" t="s">
        <v>531</v>
      </c>
      <c r="L3" s="44" t="s">
        <v>6</v>
      </c>
      <c r="M3" s="32" t="s">
        <v>5</v>
      </c>
    </row>
    <row r="4" spans="1:13" s="1" customFormat="1" ht="21" customHeight="1" thickBot="1">
      <c r="A4" s="41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8</v>
      </c>
      <c r="K4" s="43"/>
      <c r="L4" s="43"/>
      <c r="M4" s="33"/>
    </row>
    <row r="5" spans="1:12" ht="15">
      <c r="A5" s="45" t="s">
        <v>52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0" t="s">
        <v>273</v>
      </c>
      <c r="B6" s="10" t="s">
        <v>274</v>
      </c>
      <c r="C6" s="10" t="s">
        <v>275</v>
      </c>
      <c r="D6" s="10" t="str">
        <f>"1,0686"</f>
        <v>1,0686</v>
      </c>
      <c r="E6" s="10" t="s">
        <v>104</v>
      </c>
      <c r="F6" s="10" t="s">
        <v>105</v>
      </c>
      <c r="G6" s="11" t="s">
        <v>62</v>
      </c>
      <c r="H6" s="11" t="s">
        <v>31</v>
      </c>
      <c r="I6" s="11" t="s">
        <v>700</v>
      </c>
      <c r="J6" s="12"/>
      <c r="K6" s="10" t="str">
        <f>"92,5"</f>
        <v>92,5</v>
      </c>
      <c r="L6" s="11" t="str">
        <f>"111,6954"</f>
        <v>111,6954</v>
      </c>
      <c r="M6" s="10" t="s">
        <v>131</v>
      </c>
    </row>
    <row r="8" spans="1:12" ht="15">
      <c r="A8" s="48" t="s">
        <v>73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10" t="s">
        <v>278</v>
      </c>
      <c r="B9" s="10" t="s">
        <v>279</v>
      </c>
      <c r="C9" s="10" t="s">
        <v>280</v>
      </c>
      <c r="D9" s="10" t="str">
        <f>"0,7258"</f>
        <v>0,7258</v>
      </c>
      <c r="E9" s="10" t="s">
        <v>84</v>
      </c>
      <c r="F9" s="10" t="s">
        <v>281</v>
      </c>
      <c r="G9" s="11" t="s">
        <v>96</v>
      </c>
      <c r="H9" s="11" t="s">
        <v>97</v>
      </c>
      <c r="I9" s="12" t="s">
        <v>98</v>
      </c>
      <c r="J9" s="12"/>
      <c r="K9" s="10" t="str">
        <f>"190,0"</f>
        <v>190,0</v>
      </c>
      <c r="L9" s="11" t="str">
        <f>"137,9020"</f>
        <v>137,9020</v>
      </c>
      <c r="M9" s="10" t="s">
        <v>282</v>
      </c>
    </row>
    <row r="11" spans="1:12" ht="15">
      <c r="A11" s="48" t="s">
        <v>118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3" ht="12.75">
      <c r="A12" s="10" t="s">
        <v>702</v>
      </c>
      <c r="B12" s="10" t="s">
        <v>703</v>
      </c>
      <c r="C12" s="10" t="s">
        <v>704</v>
      </c>
      <c r="D12" s="10" t="str">
        <f>"0,6251"</f>
        <v>0,6251</v>
      </c>
      <c r="E12" s="10" t="s">
        <v>104</v>
      </c>
      <c r="F12" s="10" t="s">
        <v>105</v>
      </c>
      <c r="G12" s="11" t="s">
        <v>188</v>
      </c>
      <c r="H12" s="11" t="s">
        <v>214</v>
      </c>
      <c r="I12" s="11" t="s">
        <v>181</v>
      </c>
      <c r="J12" s="12"/>
      <c r="K12" s="10" t="str">
        <f>"250,0"</f>
        <v>250,0</v>
      </c>
      <c r="L12" s="11" t="str">
        <f>"156,2750"</f>
        <v>156,2750</v>
      </c>
      <c r="M12" s="10" t="s">
        <v>131</v>
      </c>
    </row>
    <row r="14" spans="1:12" ht="15">
      <c r="A14" s="48" t="s">
        <v>140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3" ht="12.75">
      <c r="A15" s="13" t="s">
        <v>705</v>
      </c>
      <c r="B15" s="13" t="s">
        <v>296</v>
      </c>
      <c r="C15" s="13" t="s">
        <v>706</v>
      </c>
      <c r="D15" s="13" t="str">
        <f>"0,5930"</f>
        <v>0,5930</v>
      </c>
      <c r="E15" s="13" t="s">
        <v>84</v>
      </c>
      <c r="F15" s="13" t="s">
        <v>298</v>
      </c>
      <c r="G15" s="14" t="s">
        <v>214</v>
      </c>
      <c r="H15" s="14" t="s">
        <v>181</v>
      </c>
      <c r="I15" s="14" t="s">
        <v>299</v>
      </c>
      <c r="J15" s="15"/>
      <c r="K15" s="13" t="str">
        <f>"265,0"</f>
        <v>265,0</v>
      </c>
      <c r="L15" s="14" t="str">
        <f>"157,1450"</f>
        <v>157,1450</v>
      </c>
      <c r="M15" s="13" t="s">
        <v>87</v>
      </c>
    </row>
    <row r="16" spans="1:13" ht="12.75">
      <c r="A16" s="19" t="s">
        <v>708</v>
      </c>
      <c r="B16" s="19" t="s">
        <v>709</v>
      </c>
      <c r="C16" s="19" t="s">
        <v>710</v>
      </c>
      <c r="D16" s="19" t="str">
        <f>"0,5995"</f>
        <v>0,5995</v>
      </c>
      <c r="E16" s="19" t="s">
        <v>104</v>
      </c>
      <c r="F16" s="19" t="s">
        <v>58</v>
      </c>
      <c r="G16" s="20" t="s">
        <v>214</v>
      </c>
      <c r="H16" s="20" t="s">
        <v>711</v>
      </c>
      <c r="I16" s="21" t="s">
        <v>712</v>
      </c>
      <c r="J16" s="21"/>
      <c r="K16" s="19" t="str">
        <f>"255,0"</f>
        <v>255,0</v>
      </c>
      <c r="L16" s="20" t="str">
        <f>"152,8725"</f>
        <v>152,8725</v>
      </c>
      <c r="M16" s="19" t="s">
        <v>87</v>
      </c>
    </row>
    <row r="17" spans="1:13" ht="12.75">
      <c r="A17" s="19" t="s">
        <v>713</v>
      </c>
      <c r="B17" s="19" t="s">
        <v>289</v>
      </c>
      <c r="C17" s="19" t="s">
        <v>290</v>
      </c>
      <c r="D17" s="19" t="str">
        <f>"0,5861"</f>
        <v>0,5861</v>
      </c>
      <c r="E17" s="19" t="s">
        <v>29</v>
      </c>
      <c r="F17" s="19" t="s">
        <v>30</v>
      </c>
      <c r="G17" s="20" t="s">
        <v>155</v>
      </c>
      <c r="H17" s="20" t="s">
        <v>214</v>
      </c>
      <c r="I17" s="21" t="s">
        <v>293</v>
      </c>
      <c r="J17" s="21"/>
      <c r="K17" s="19" t="str">
        <f>"240,0"</f>
        <v>240,0</v>
      </c>
      <c r="L17" s="20" t="str">
        <f>"140,6640"</f>
        <v>140,6640</v>
      </c>
      <c r="M17" s="19" t="s">
        <v>39</v>
      </c>
    </row>
    <row r="18" spans="1:13" ht="12.75">
      <c r="A18" s="16" t="s">
        <v>715</v>
      </c>
      <c r="B18" s="16" t="s">
        <v>716</v>
      </c>
      <c r="C18" s="16" t="s">
        <v>717</v>
      </c>
      <c r="D18" s="16" t="str">
        <f>"0,5939"</f>
        <v>0,5939</v>
      </c>
      <c r="E18" s="16" t="s">
        <v>68</v>
      </c>
      <c r="F18" s="16" t="s">
        <v>58</v>
      </c>
      <c r="G18" s="18" t="s">
        <v>155</v>
      </c>
      <c r="H18" s="17" t="s">
        <v>188</v>
      </c>
      <c r="I18" s="17" t="s">
        <v>188</v>
      </c>
      <c r="J18" s="17"/>
      <c r="K18" s="16" t="str">
        <f>"220,0"</f>
        <v>220,0</v>
      </c>
      <c r="L18" s="18" t="str">
        <f>"134,7084"</f>
        <v>134,7084</v>
      </c>
      <c r="M18" s="16" t="s">
        <v>87</v>
      </c>
    </row>
    <row r="20" spans="1:12" ht="15">
      <c r="A20" s="48" t="s">
        <v>167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3" ht="12.75">
      <c r="A21" s="10" t="s">
        <v>719</v>
      </c>
      <c r="B21" s="10" t="s">
        <v>720</v>
      </c>
      <c r="C21" s="10" t="s">
        <v>721</v>
      </c>
      <c r="D21" s="10" t="str">
        <f>"0,5734"</f>
        <v>0,5734</v>
      </c>
      <c r="E21" s="10" t="s">
        <v>84</v>
      </c>
      <c r="F21" s="10" t="s">
        <v>58</v>
      </c>
      <c r="G21" s="11" t="s">
        <v>97</v>
      </c>
      <c r="H21" s="11" t="s">
        <v>323</v>
      </c>
      <c r="I21" s="12" t="s">
        <v>187</v>
      </c>
      <c r="J21" s="12"/>
      <c r="K21" s="10" t="str">
        <f>"202,5"</f>
        <v>202,5</v>
      </c>
      <c r="L21" s="11" t="str">
        <f>"116,1135"</f>
        <v>116,1135</v>
      </c>
      <c r="M21" s="10" t="s">
        <v>364</v>
      </c>
    </row>
    <row r="23" spans="1:12" ht="15">
      <c r="A23" s="48" t="s">
        <v>182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3" ht="12.75">
      <c r="A24" s="10" t="s">
        <v>723</v>
      </c>
      <c r="B24" s="10" t="s">
        <v>724</v>
      </c>
      <c r="C24" s="10" t="s">
        <v>549</v>
      </c>
      <c r="D24" s="10" t="str">
        <f>"0,5375"</f>
        <v>0,5375</v>
      </c>
      <c r="E24" s="10" t="s">
        <v>84</v>
      </c>
      <c r="F24" s="10" t="s">
        <v>58</v>
      </c>
      <c r="G24" s="11" t="s">
        <v>181</v>
      </c>
      <c r="H24" s="12" t="s">
        <v>712</v>
      </c>
      <c r="I24" s="12" t="s">
        <v>712</v>
      </c>
      <c r="J24" s="12"/>
      <c r="K24" s="10" t="str">
        <f>"250,0"</f>
        <v>250,0</v>
      </c>
      <c r="L24" s="11" t="str">
        <f>"134,3750"</f>
        <v>134,3750</v>
      </c>
      <c r="M24" s="10" t="s">
        <v>87</v>
      </c>
    </row>
    <row r="26" spans="1:12" ht="15">
      <c r="A26" s="48" t="s">
        <v>193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3" ht="12.75">
      <c r="A27" s="10" t="s">
        <v>726</v>
      </c>
      <c r="B27" s="10" t="s">
        <v>727</v>
      </c>
      <c r="C27" s="10" t="s">
        <v>728</v>
      </c>
      <c r="D27" s="10" t="str">
        <f>"0,5216"</f>
        <v>0,5216</v>
      </c>
      <c r="E27" s="10" t="s">
        <v>104</v>
      </c>
      <c r="F27" s="10" t="s">
        <v>105</v>
      </c>
      <c r="G27" s="11" t="s">
        <v>97</v>
      </c>
      <c r="H27" s="11" t="s">
        <v>124</v>
      </c>
      <c r="I27" s="11" t="s">
        <v>138</v>
      </c>
      <c r="J27" s="12"/>
      <c r="K27" s="10" t="str">
        <f>"225,0"</f>
        <v>225,0</v>
      </c>
      <c r="L27" s="11" t="str">
        <f>"122,0544"</f>
        <v>122,0544</v>
      </c>
      <c r="M27" s="10" t="s">
        <v>131</v>
      </c>
    </row>
    <row r="29" ht="15">
      <c r="E29" s="8" t="s">
        <v>13</v>
      </c>
    </row>
    <row r="30" ht="15">
      <c r="E30" s="8" t="s">
        <v>14</v>
      </c>
    </row>
    <row r="31" ht="15">
      <c r="E31" s="8" t="s">
        <v>15</v>
      </c>
    </row>
    <row r="32" ht="15">
      <c r="E32" s="8" t="s">
        <v>16</v>
      </c>
    </row>
    <row r="33" ht="15">
      <c r="E33" s="8" t="s">
        <v>16</v>
      </c>
    </row>
    <row r="34" ht="15">
      <c r="E34" s="8" t="s">
        <v>17</v>
      </c>
    </row>
    <row r="35" ht="15">
      <c r="E35" s="8"/>
    </row>
    <row r="37" spans="1:2" ht="18">
      <c r="A37" s="9" t="s">
        <v>18</v>
      </c>
      <c r="B37" s="9"/>
    </row>
    <row r="38" spans="1:2" ht="15">
      <c r="A38" s="22" t="s">
        <v>216</v>
      </c>
      <c r="B38" s="22"/>
    </row>
    <row r="39" spans="1:2" ht="14.25">
      <c r="A39" s="24"/>
      <c r="B39" s="25" t="s">
        <v>217</v>
      </c>
    </row>
    <row r="40" spans="1:5" ht="15">
      <c r="A40" s="26" t="s">
        <v>206</v>
      </c>
      <c r="B40" s="26" t="s">
        <v>207</v>
      </c>
      <c r="C40" s="26" t="s">
        <v>208</v>
      </c>
      <c r="D40" s="26" t="s">
        <v>209</v>
      </c>
      <c r="E40" s="26" t="s">
        <v>210</v>
      </c>
    </row>
    <row r="41" spans="1:5" ht="12.75">
      <c r="A41" s="23" t="s">
        <v>725</v>
      </c>
      <c r="B41" s="4" t="s">
        <v>227</v>
      </c>
      <c r="C41" s="4" t="s">
        <v>45</v>
      </c>
      <c r="D41" s="4" t="s">
        <v>138</v>
      </c>
      <c r="E41" s="27" t="s">
        <v>729</v>
      </c>
    </row>
    <row r="42" spans="1:5" ht="12.75">
      <c r="A42" s="23" t="s">
        <v>272</v>
      </c>
      <c r="B42" s="4" t="s">
        <v>218</v>
      </c>
      <c r="C42" s="4" t="s">
        <v>231</v>
      </c>
      <c r="D42" s="4" t="s">
        <v>700</v>
      </c>
      <c r="E42" s="27" t="s">
        <v>730</v>
      </c>
    </row>
    <row r="44" spans="1:2" ht="14.25">
      <c r="A44" s="24"/>
      <c r="B44" s="25" t="s">
        <v>205</v>
      </c>
    </row>
    <row r="45" spans="1:5" ht="15">
      <c r="A45" s="26" t="s">
        <v>206</v>
      </c>
      <c r="B45" s="26" t="s">
        <v>207</v>
      </c>
      <c r="C45" s="26" t="s">
        <v>208</v>
      </c>
      <c r="D45" s="26" t="s">
        <v>209</v>
      </c>
      <c r="E45" s="26" t="s">
        <v>210</v>
      </c>
    </row>
    <row r="46" spans="1:5" ht="12.75">
      <c r="A46" s="23" t="s">
        <v>294</v>
      </c>
      <c r="B46" s="4" t="s">
        <v>205</v>
      </c>
      <c r="C46" s="4" t="s">
        <v>37</v>
      </c>
      <c r="D46" s="4" t="s">
        <v>299</v>
      </c>
      <c r="E46" s="27" t="s">
        <v>731</v>
      </c>
    </row>
    <row r="47" spans="1:5" ht="12.75">
      <c r="A47" s="23" t="s">
        <v>701</v>
      </c>
      <c r="B47" s="4" t="s">
        <v>205</v>
      </c>
      <c r="C47" s="4" t="s">
        <v>79</v>
      </c>
      <c r="D47" s="4" t="s">
        <v>181</v>
      </c>
      <c r="E47" s="27" t="s">
        <v>732</v>
      </c>
    </row>
    <row r="48" spans="1:5" ht="12.75">
      <c r="A48" s="23" t="s">
        <v>707</v>
      </c>
      <c r="B48" s="4" t="s">
        <v>205</v>
      </c>
      <c r="C48" s="4" t="s">
        <v>37</v>
      </c>
      <c r="D48" s="4" t="s">
        <v>711</v>
      </c>
      <c r="E48" s="27" t="s">
        <v>733</v>
      </c>
    </row>
    <row r="49" spans="1:5" ht="12.75">
      <c r="A49" s="23" t="s">
        <v>287</v>
      </c>
      <c r="B49" s="4" t="s">
        <v>205</v>
      </c>
      <c r="C49" s="4" t="s">
        <v>37</v>
      </c>
      <c r="D49" s="4" t="s">
        <v>214</v>
      </c>
      <c r="E49" s="27" t="s">
        <v>734</v>
      </c>
    </row>
    <row r="50" spans="1:5" ht="12.75">
      <c r="A50" s="23" t="s">
        <v>277</v>
      </c>
      <c r="B50" s="4" t="s">
        <v>205</v>
      </c>
      <c r="C50" s="4" t="s">
        <v>239</v>
      </c>
      <c r="D50" s="4" t="s">
        <v>97</v>
      </c>
      <c r="E50" s="27" t="s">
        <v>735</v>
      </c>
    </row>
    <row r="51" spans="1:5" ht="12.75">
      <c r="A51" s="23" t="s">
        <v>722</v>
      </c>
      <c r="B51" s="4" t="s">
        <v>205</v>
      </c>
      <c r="C51" s="4" t="s">
        <v>69</v>
      </c>
      <c r="D51" s="4" t="s">
        <v>181</v>
      </c>
      <c r="E51" s="27" t="s">
        <v>736</v>
      </c>
    </row>
    <row r="52" spans="1:5" ht="12.75">
      <c r="A52" s="23" t="s">
        <v>718</v>
      </c>
      <c r="B52" s="4" t="s">
        <v>205</v>
      </c>
      <c r="C52" s="4" t="s">
        <v>33</v>
      </c>
      <c r="D52" s="4" t="s">
        <v>323</v>
      </c>
      <c r="E52" s="27" t="s">
        <v>737</v>
      </c>
    </row>
    <row r="54" spans="1:2" ht="14.25">
      <c r="A54" s="24"/>
      <c r="B54" s="25" t="s">
        <v>259</v>
      </c>
    </row>
    <row r="55" spans="1:5" ht="15">
      <c r="A55" s="26" t="s">
        <v>206</v>
      </c>
      <c r="B55" s="26" t="s">
        <v>207</v>
      </c>
      <c r="C55" s="26" t="s">
        <v>208</v>
      </c>
      <c r="D55" s="26" t="s">
        <v>209</v>
      </c>
      <c r="E55" s="26" t="s">
        <v>210</v>
      </c>
    </row>
    <row r="56" spans="1:5" ht="12.75">
      <c r="A56" s="23" t="s">
        <v>714</v>
      </c>
      <c r="B56" s="4" t="s">
        <v>497</v>
      </c>
      <c r="C56" s="4" t="s">
        <v>37</v>
      </c>
      <c r="D56" s="4" t="s">
        <v>155</v>
      </c>
      <c r="E56" s="27" t="s">
        <v>738</v>
      </c>
    </row>
  </sheetData>
  <sheetProtection/>
  <mergeCells count="18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20:L20"/>
    <mergeCell ref="A23:L23"/>
    <mergeCell ref="A26:L26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A48" sqref="A48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2.25390625" style="4" bestFit="1" customWidth="1"/>
    <col min="14" max="16384" width="9.125" style="3" customWidth="1"/>
  </cols>
  <sheetData>
    <row r="1" spans="1:13" s="2" customFormat="1" ht="28.5" customHeight="1">
      <c r="A1" s="47" t="s">
        <v>618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0</v>
      </c>
      <c r="B3" s="42" t="s">
        <v>10</v>
      </c>
      <c r="C3" s="42" t="s">
        <v>11</v>
      </c>
      <c r="D3" s="44" t="s">
        <v>20</v>
      </c>
      <c r="E3" s="44" t="s">
        <v>7</v>
      </c>
      <c r="F3" s="44" t="s">
        <v>12</v>
      </c>
      <c r="G3" s="44" t="s">
        <v>23</v>
      </c>
      <c r="H3" s="44"/>
      <c r="I3" s="44"/>
      <c r="J3" s="44"/>
      <c r="K3" s="44" t="s">
        <v>531</v>
      </c>
      <c r="L3" s="44" t="s">
        <v>6</v>
      </c>
      <c r="M3" s="32" t="s">
        <v>5</v>
      </c>
    </row>
    <row r="4" spans="1:13" s="1" customFormat="1" ht="21" customHeight="1" thickBot="1">
      <c r="A4" s="41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8</v>
      </c>
      <c r="K4" s="43"/>
      <c r="L4" s="43"/>
      <c r="M4" s="33"/>
    </row>
    <row r="5" spans="1:12" ht="15">
      <c r="A5" s="45" t="s">
        <v>342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0" t="s">
        <v>620</v>
      </c>
      <c r="B6" s="10" t="s">
        <v>621</v>
      </c>
      <c r="C6" s="10" t="s">
        <v>622</v>
      </c>
      <c r="D6" s="10" t="str">
        <f>"1,0557"</f>
        <v>1,0557</v>
      </c>
      <c r="E6" s="10" t="s">
        <v>84</v>
      </c>
      <c r="F6" s="10" t="s">
        <v>58</v>
      </c>
      <c r="G6" s="11" t="s">
        <v>62</v>
      </c>
      <c r="H6" s="11" t="s">
        <v>79</v>
      </c>
      <c r="I6" s="11" t="s">
        <v>31</v>
      </c>
      <c r="J6" s="12"/>
      <c r="K6" s="10" t="str">
        <f>"85,0"</f>
        <v>85,0</v>
      </c>
      <c r="L6" s="11" t="str">
        <f>"89,7345"</f>
        <v>89,7345</v>
      </c>
      <c r="M6" s="10" t="s">
        <v>623</v>
      </c>
    </row>
    <row r="8" spans="1:12" ht="15">
      <c r="A8" s="48" t="s">
        <v>52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10" t="s">
        <v>625</v>
      </c>
      <c r="B9" s="10" t="s">
        <v>626</v>
      </c>
      <c r="C9" s="10" t="s">
        <v>627</v>
      </c>
      <c r="D9" s="10" t="str">
        <f>"0,9960"</f>
        <v>0,9960</v>
      </c>
      <c r="E9" s="10" t="s">
        <v>84</v>
      </c>
      <c r="F9" s="10" t="s">
        <v>58</v>
      </c>
      <c r="G9" s="11" t="s">
        <v>420</v>
      </c>
      <c r="H9" s="11" t="s">
        <v>38</v>
      </c>
      <c r="I9" s="11" t="s">
        <v>94</v>
      </c>
      <c r="J9" s="12"/>
      <c r="K9" s="10" t="str">
        <f>"107,5"</f>
        <v>107,5</v>
      </c>
      <c r="L9" s="11" t="str">
        <f>"108,0336"</f>
        <v>108,0336</v>
      </c>
      <c r="M9" s="10" t="s">
        <v>628</v>
      </c>
    </row>
    <row r="11" spans="1:12" ht="15">
      <c r="A11" s="48" t="s">
        <v>24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3" ht="12.75">
      <c r="A12" s="13" t="s">
        <v>630</v>
      </c>
      <c r="B12" s="13" t="s">
        <v>631</v>
      </c>
      <c r="C12" s="13" t="s">
        <v>632</v>
      </c>
      <c r="D12" s="13" t="str">
        <f>"0,9355"</f>
        <v>0,9355</v>
      </c>
      <c r="E12" s="13" t="s">
        <v>84</v>
      </c>
      <c r="F12" s="13" t="s">
        <v>58</v>
      </c>
      <c r="G12" s="14" t="s">
        <v>38</v>
      </c>
      <c r="H12" s="14" t="s">
        <v>69</v>
      </c>
      <c r="I12" s="14" t="s">
        <v>117</v>
      </c>
      <c r="J12" s="15"/>
      <c r="K12" s="13" t="str">
        <f>"115,0"</f>
        <v>115,0</v>
      </c>
      <c r="L12" s="14" t="str">
        <f>"107,5825"</f>
        <v>107,5825</v>
      </c>
      <c r="M12" s="13" t="s">
        <v>628</v>
      </c>
    </row>
    <row r="13" spans="1:13" ht="12.75">
      <c r="A13" s="19" t="s">
        <v>633</v>
      </c>
      <c r="B13" s="19" t="s">
        <v>356</v>
      </c>
      <c r="C13" s="19" t="s">
        <v>357</v>
      </c>
      <c r="D13" s="19" t="str">
        <f>"0,9124"</f>
        <v>0,9124</v>
      </c>
      <c r="E13" s="19" t="s">
        <v>358</v>
      </c>
      <c r="F13" s="19" t="s">
        <v>298</v>
      </c>
      <c r="G13" s="20" t="s">
        <v>32</v>
      </c>
      <c r="H13" s="20" t="s">
        <v>420</v>
      </c>
      <c r="I13" s="20" t="s">
        <v>94</v>
      </c>
      <c r="J13" s="21"/>
      <c r="K13" s="19" t="str">
        <f>"107,5"</f>
        <v>107,5</v>
      </c>
      <c r="L13" s="20" t="str">
        <f>"98,0830"</f>
        <v>98,0830</v>
      </c>
      <c r="M13" s="19" t="s">
        <v>87</v>
      </c>
    </row>
    <row r="14" spans="1:13" ht="12.75">
      <c r="A14" s="16" t="s">
        <v>634</v>
      </c>
      <c r="B14" s="16" t="s">
        <v>27</v>
      </c>
      <c r="C14" s="16" t="s">
        <v>28</v>
      </c>
      <c r="D14" s="16" t="str">
        <f>"0,9369"</f>
        <v>0,9369</v>
      </c>
      <c r="E14" s="16" t="s">
        <v>29</v>
      </c>
      <c r="F14" s="16" t="s">
        <v>30</v>
      </c>
      <c r="G14" s="18" t="s">
        <v>37</v>
      </c>
      <c r="H14" s="18" t="s">
        <v>33</v>
      </c>
      <c r="I14" s="18" t="s">
        <v>38</v>
      </c>
      <c r="J14" s="17"/>
      <c r="K14" s="16" t="str">
        <f>"105,0"</f>
        <v>105,0</v>
      </c>
      <c r="L14" s="18" t="str">
        <f>"98,3745"</f>
        <v>98,3745</v>
      </c>
      <c r="M14" s="16" t="s">
        <v>39</v>
      </c>
    </row>
    <row r="16" spans="1:12" ht="15">
      <c r="A16" s="48" t="s">
        <v>73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3" ht="12.75">
      <c r="A17" s="13" t="s">
        <v>636</v>
      </c>
      <c r="B17" s="13" t="s">
        <v>637</v>
      </c>
      <c r="C17" s="13" t="s">
        <v>638</v>
      </c>
      <c r="D17" s="13" t="str">
        <f>"0,8142"</f>
        <v>0,8142</v>
      </c>
      <c r="E17" s="13" t="s">
        <v>84</v>
      </c>
      <c r="F17" s="13" t="s">
        <v>58</v>
      </c>
      <c r="G17" s="14" t="s">
        <v>69</v>
      </c>
      <c r="H17" s="14" t="s">
        <v>117</v>
      </c>
      <c r="I17" s="14" t="s">
        <v>51</v>
      </c>
      <c r="J17" s="15"/>
      <c r="K17" s="13" t="str">
        <f>"120,0"</f>
        <v>120,0</v>
      </c>
      <c r="L17" s="14" t="str">
        <f>"97,7100"</f>
        <v>97,7100</v>
      </c>
      <c r="M17" s="13" t="s">
        <v>639</v>
      </c>
    </row>
    <row r="18" spans="1:13" ht="12.75">
      <c r="A18" s="16" t="s">
        <v>374</v>
      </c>
      <c r="B18" s="16" t="s">
        <v>375</v>
      </c>
      <c r="C18" s="16" t="s">
        <v>376</v>
      </c>
      <c r="D18" s="16" t="str">
        <f>"0,8037"</f>
        <v>0,8037</v>
      </c>
      <c r="E18" s="16" t="s">
        <v>358</v>
      </c>
      <c r="F18" s="16" t="s">
        <v>298</v>
      </c>
      <c r="G18" s="18" t="s">
        <v>32</v>
      </c>
      <c r="H18" s="18" t="s">
        <v>33</v>
      </c>
      <c r="I18" s="17" t="s">
        <v>38</v>
      </c>
      <c r="J18" s="17"/>
      <c r="K18" s="16" t="str">
        <f>"100,0"</f>
        <v>100,0</v>
      </c>
      <c r="L18" s="18" t="str">
        <f>"80,3650"</f>
        <v>80,3650</v>
      </c>
      <c r="M18" s="16" t="s">
        <v>87</v>
      </c>
    </row>
    <row r="20" spans="1:12" ht="15">
      <c r="A20" s="48" t="s">
        <v>73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3" ht="12.75">
      <c r="A21" s="13" t="s">
        <v>81</v>
      </c>
      <c r="B21" s="13" t="s">
        <v>640</v>
      </c>
      <c r="C21" s="13" t="s">
        <v>376</v>
      </c>
      <c r="D21" s="13" t="str">
        <f>"0,7503"</f>
        <v>0,7503</v>
      </c>
      <c r="E21" s="13" t="s">
        <v>84</v>
      </c>
      <c r="F21" s="13" t="s">
        <v>85</v>
      </c>
      <c r="G21" s="14" t="s">
        <v>86</v>
      </c>
      <c r="H21" s="14" t="s">
        <v>96</v>
      </c>
      <c r="I21" s="14" t="s">
        <v>97</v>
      </c>
      <c r="J21" s="15"/>
      <c r="K21" s="13" t="str">
        <f>"190,0"</f>
        <v>190,0</v>
      </c>
      <c r="L21" s="14" t="str">
        <f>"145,4081"</f>
        <v>145,4081</v>
      </c>
      <c r="M21" s="13" t="s">
        <v>87</v>
      </c>
    </row>
    <row r="22" spans="1:13" ht="12.75">
      <c r="A22" s="16" t="s">
        <v>642</v>
      </c>
      <c r="B22" s="16" t="s">
        <v>643</v>
      </c>
      <c r="C22" s="16" t="s">
        <v>644</v>
      </c>
      <c r="D22" s="16" t="str">
        <f>"0,7377"</f>
        <v>0,7377</v>
      </c>
      <c r="E22" s="16" t="s">
        <v>84</v>
      </c>
      <c r="F22" s="16" t="s">
        <v>298</v>
      </c>
      <c r="G22" s="18" t="s">
        <v>172</v>
      </c>
      <c r="H22" s="18" t="s">
        <v>460</v>
      </c>
      <c r="I22" s="17" t="s">
        <v>86</v>
      </c>
      <c r="J22" s="17"/>
      <c r="K22" s="16" t="str">
        <f>"167,5"</f>
        <v>167,5</v>
      </c>
      <c r="L22" s="18" t="str">
        <f>"123,5647"</f>
        <v>123,5647</v>
      </c>
      <c r="M22" s="16" t="s">
        <v>87</v>
      </c>
    </row>
    <row r="24" spans="1:12" ht="15">
      <c r="A24" s="48" t="s">
        <v>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3" ht="12.75">
      <c r="A25" s="13" t="s">
        <v>645</v>
      </c>
      <c r="B25" s="13" t="s">
        <v>102</v>
      </c>
      <c r="C25" s="13" t="s">
        <v>103</v>
      </c>
      <c r="D25" s="13" t="str">
        <f>"0,6716"</f>
        <v>0,6716</v>
      </c>
      <c r="E25" s="13" t="s">
        <v>104</v>
      </c>
      <c r="F25" s="13" t="s">
        <v>105</v>
      </c>
      <c r="G25" s="14" t="s">
        <v>107</v>
      </c>
      <c r="H25" s="15" t="s">
        <v>98</v>
      </c>
      <c r="I25" s="14" t="s">
        <v>98</v>
      </c>
      <c r="J25" s="15"/>
      <c r="K25" s="13" t="str">
        <f>"200,0"</f>
        <v>200,0</v>
      </c>
      <c r="L25" s="14" t="str">
        <f>"145,0656"</f>
        <v>145,0656</v>
      </c>
      <c r="M25" s="13" t="s">
        <v>108</v>
      </c>
    </row>
    <row r="26" spans="1:13" ht="12.75">
      <c r="A26" s="16" t="s">
        <v>647</v>
      </c>
      <c r="B26" s="16" t="s">
        <v>648</v>
      </c>
      <c r="C26" s="16" t="s">
        <v>44</v>
      </c>
      <c r="D26" s="16" t="str">
        <f>"0,6659"</f>
        <v>0,6659</v>
      </c>
      <c r="E26" s="16" t="s">
        <v>84</v>
      </c>
      <c r="F26" s="16" t="s">
        <v>298</v>
      </c>
      <c r="G26" s="18" t="s">
        <v>136</v>
      </c>
      <c r="H26" s="18" t="s">
        <v>130</v>
      </c>
      <c r="I26" s="17" t="s">
        <v>96</v>
      </c>
      <c r="J26" s="17"/>
      <c r="K26" s="16" t="str">
        <f>"172,5"</f>
        <v>172,5</v>
      </c>
      <c r="L26" s="18" t="str">
        <f>"125,4356"</f>
        <v>125,4356</v>
      </c>
      <c r="M26" s="16" t="s">
        <v>87</v>
      </c>
    </row>
    <row r="28" spans="1:12" ht="15">
      <c r="A28" s="48" t="s">
        <v>118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3" ht="12.75">
      <c r="A29" s="13" t="s">
        <v>120</v>
      </c>
      <c r="B29" s="13" t="s">
        <v>121</v>
      </c>
      <c r="C29" s="13" t="s">
        <v>122</v>
      </c>
      <c r="D29" s="13" t="str">
        <f>"0,6193"</f>
        <v>0,6193</v>
      </c>
      <c r="E29" s="13" t="s">
        <v>104</v>
      </c>
      <c r="F29" s="13" t="s">
        <v>105</v>
      </c>
      <c r="G29" s="14" t="s">
        <v>98</v>
      </c>
      <c r="H29" s="14" t="s">
        <v>124</v>
      </c>
      <c r="I29" s="15" t="s">
        <v>125</v>
      </c>
      <c r="J29" s="15"/>
      <c r="K29" s="13" t="str">
        <f>"210,0"</f>
        <v>210,0</v>
      </c>
      <c r="L29" s="14" t="str">
        <f>"146,9599"</f>
        <v>146,9599</v>
      </c>
      <c r="M29" s="13" t="s">
        <v>108</v>
      </c>
    </row>
    <row r="30" spans="1:13" ht="12.75">
      <c r="A30" s="19" t="s">
        <v>650</v>
      </c>
      <c r="B30" s="19" t="s">
        <v>651</v>
      </c>
      <c r="C30" s="19" t="s">
        <v>652</v>
      </c>
      <c r="D30" s="19" t="str">
        <f>"0,6273"</f>
        <v>0,6273</v>
      </c>
      <c r="E30" s="19" t="s">
        <v>84</v>
      </c>
      <c r="F30" s="19" t="s">
        <v>58</v>
      </c>
      <c r="G30" s="21" t="s">
        <v>172</v>
      </c>
      <c r="H30" s="20" t="s">
        <v>172</v>
      </c>
      <c r="I30" s="20" t="s">
        <v>136</v>
      </c>
      <c r="J30" s="21"/>
      <c r="K30" s="19" t="str">
        <f>"165,0"</f>
        <v>165,0</v>
      </c>
      <c r="L30" s="20" t="str">
        <f>"103,5045"</f>
        <v>103,5045</v>
      </c>
      <c r="M30" s="19" t="s">
        <v>87</v>
      </c>
    </row>
    <row r="31" spans="1:13" ht="12.75">
      <c r="A31" s="16" t="s">
        <v>654</v>
      </c>
      <c r="B31" s="16" t="s">
        <v>655</v>
      </c>
      <c r="C31" s="16" t="s">
        <v>652</v>
      </c>
      <c r="D31" s="16" t="str">
        <f>"0,6273"</f>
        <v>0,6273</v>
      </c>
      <c r="E31" s="16" t="s">
        <v>68</v>
      </c>
      <c r="F31" s="16" t="s">
        <v>58</v>
      </c>
      <c r="G31" s="18" t="s">
        <v>46</v>
      </c>
      <c r="H31" s="18" t="s">
        <v>47</v>
      </c>
      <c r="I31" s="18" t="s">
        <v>93</v>
      </c>
      <c r="J31" s="17"/>
      <c r="K31" s="16" t="str">
        <f>"140,0"</f>
        <v>140,0</v>
      </c>
      <c r="L31" s="18" t="str">
        <f>"173,0093"</f>
        <v>173,0093</v>
      </c>
      <c r="M31" s="16" t="s">
        <v>87</v>
      </c>
    </row>
    <row r="33" spans="1:12" ht="15">
      <c r="A33" s="48" t="s">
        <v>140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3" ht="12.75">
      <c r="A34" s="13" t="s">
        <v>657</v>
      </c>
      <c r="B34" s="13" t="s">
        <v>658</v>
      </c>
      <c r="C34" s="13" t="s">
        <v>436</v>
      </c>
      <c r="D34" s="13" t="str">
        <f>"0,5943"</f>
        <v>0,5943</v>
      </c>
      <c r="E34" s="13" t="s">
        <v>84</v>
      </c>
      <c r="F34" s="13" t="s">
        <v>58</v>
      </c>
      <c r="G34" s="14" t="s">
        <v>214</v>
      </c>
      <c r="H34" s="15" t="s">
        <v>659</v>
      </c>
      <c r="I34" s="14" t="s">
        <v>659</v>
      </c>
      <c r="J34" s="15"/>
      <c r="K34" s="13" t="str">
        <f>"257,5"</f>
        <v>257,5</v>
      </c>
      <c r="L34" s="14" t="str">
        <f>"153,0322"</f>
        <v>153,0322</v>
      </c>
      <c r="M34" s="13" t="s">
        <v>87</v>
      </c>
    </row>
    <row r="35" spans="1:13" ht="12.75">
      <c r="A35" s="19" t="s">
        <v>660</v>
      </c>
      <c r="B35" s="19" t="s">
        <v>153</v>
      </c>
      <c r="C35" s="19" t="s">
        <v>154</v>
      </c>
      <c r="D35" s="19" t="str">
        <f>"0,5910"</f>
        <v>0,5910</v>
      </c>
      <c r="E35" s="19" t="s">
        <v>29</v>
      </c>
      <c r="F35" s="19" t="s">
        <v>30</v>
      </c>
      <c r="G35" s="20" t="s">
        <v>97</v>
      </c>
      <c r="H35" s="20" t="s">
        <v>137</v>
      </c>
      <c r="I35" s="20" t="s">
        <v>155</v>
      </c>
      <c r="J35" s="21"/>
      <c r="K35" s="19" t="str">
        <f>"220,0"</f>
        <v>220,0</v>
      </c>
      <c r="L35" s="20" t="str">
        <f>"130,0200"</f>
        <v>130,0200</v>
      </c>
      <c r="M35" s="19" t="s">
        <v>39</v>
      </c>
    </row>
    <row r="36" spans="1:13" ht="12.75">
      <c r="A36" s="16" t="s">
        <v>661</v>
      </c>
      <c r="B36" s="16" t="s">
        <v>158</v>
      </c>
      <c r="C36" s="16" t="s">
        <v>159</v>
      </c>
      <c r="D36" s="16" t="str">
        <f>"0,5897"</f>
        <v>0,5897</v>
      </c>
      <c r="E36" s="16" t="s">
        <v>29</v>
      </c>
      <c r="F36" s="16" t="s">
        <v>30</v>
      </c>
      <c r="G36" s="18" t="s">
        <v>96</v>
      </c>
      <c r="H36" s="18" t="s">
        <v>137</v>
      </c>
      <c r="I36" s="17" t="s">
        <v>125</v>
      </c>
      <c r="J36" s="17"/>
      <c r="K36" s="16" t="str">
        <f>"212,5"</f>
        <v>212,5</v>
      </c>
      <c r="L36" s="18" t="str">
        <f>"125,3112"</f>
        <v>125,3112</v>
      </c>
      <c r="M36" s="16" t="s">
        <v>39</v>
      </c>
    </row>
    <row r="38" spans="1:12" ht="15">
      <c r="A38" s="48" t="s">
        <v>167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3" ht="12.75">
      <c r="A39" s="13" t="s">
        <v>174</v>
      </c>
      <c r="B39" s="13" t="s">
        <v>175</v>
      </c>
      <c r="C39" s="13" t="s">
        <v>176</v>
      </c>
      <c r="D39" s="13" t="str">
        <f>"0,5639"</f>
        <v>0,5639</v>
      </c>
      <c r="E39" s="13" t="s">
        <v>29</v>
      </c>
      <c r="F39" s="13" t="s">
        <v>30</v>
      </c>
      <c r="G39" s="14" t="s">
        <v>155</v>
      </c>
      <c r="H39" s="14" t="s">
        <v>180</v>
      </c>
      <c r="I39" s="15" t="s">
        <v>181</v>
      </c>
      <c r="J39" s="15"/>
      <c r="K39" s="13" t="str">
        <f>"235,0"</f>
        <v>235,0</v>
      </c>
      <c r="L39" s="14" t="str">
        <f>"132,5165"</f>
        <v>132,5165</v>
      </c>
      <c r="M39" s="13" t="s">
        <v>39</v>
      </c>
    </row>
    <row r="40" spans="1:13" ht="12.75">
      <c r="A40" s="16" t="s">
        <v>663</v>
      </c>
      <c r="B40" s="16" t="s">
        <v>664</v>
      </c>
      <c r="C40" s="16" t="s">
        <v>464</v>
      </c>
      <c r="D40" s="16" t="str">
        <f>"0,5581"</f>
        <v>0,5581</v>
      </c>
      <c r="E40" s="16" t="s">
        <v>84</v>
      </c>
      <c r="F40" s="16" t="s">
        <v>298</v>
      </c>
      <c r="G40" s="17" t="s">
        <v>149</v>
      </c>
      <c r="H40" s="18" t="s">
        <v>149</v>
      </c>
      <c r="I40" s="18" t="s">
        <v>198</v>
      </c>
      <c r="J40" s="17"/>
      <c r="K40" s="16" t="str">
        <f>"205,0"</f>
        <v>205,0</v>
      </c>
      <c r="L40" s="18" t="str">
        <f>"115,4402"</f>
        <v>115,4402</v>
      </c>
      <c r="M40" s="16" t="s">
        <v>87</v>
      </c>
    </row>
    <row r="42" spans="1:12" ht="15">
      <c r="A42" s="48" t="s">
        <v>182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3" ht="12.75">
      <c r="A43" s="13" t="s">
        <v>666</v>
      </c>
      <c r="B43" s="13" t="s">
        <v>667</v>
      </c>
      <c r="C43" s="13" t="s">
        <v>668</v>
      </c>
      <c r="D43" s="13" t="str">
        <f>"0,5517"</f>
        <v>0,5517</v>
      </c>
      <c r="E43" s="13" t="s">
        <v>84</v>
      </c>
      <c r="F43" s="13" t="s">
        <v>58</v>
      </c>
      <c r="G43" s="14" t="s">
        <v>98</v>
      </c>
      <c r="H43" s="14" t="s">
        <v>155</v>
      </c>
      <c r="I43" s="14" t="s">
        <v>180</v>
      </c>
      <c r="J43" s="15"/>
      <c r="K43" s="13" t="str">
        <f>"235,0"</f>
        <v>235,0</v>
      </c>
      <c r="L43" s="14" t="str">
        <f>"129,6495"</f>
        <v>129,6495</v>
      </c>
      <c r="M43" s="13" t="s">
        <v>87</v>
      </c>
    </row>
    <row r="44" spans="1:13" ht="12.75">
      <c r="A44" s="16" t="s">
        <v>669</v>
      </c>
      <c r="B44" s="16" t="s">
        <v>185</v>
      </c>
      <c r="C44" s="16" t="s">
        <v>186</v>
      </c>
      <c r="D44" s="16" t="str">
        <f>"0,5410"</f>
        <v>0,5410</v>
      </c>
      <c r="E44" s="16" t="s">
        <v>29</v>
      </c>
      <c r="F44" s="16" t="s">
        <v>30</v>
      </c>
      <c r="G44" s="18" t="s">
        <v>187</v>
      </c>
      <c r="H44" s="18" t="s">
        <v>188</v>
      </c>
      <c r="I44" s="18" t="s">
        <v>180</v>
      </c>
      <c r="J44" s="17"/>
      <c r="K44" s="16" t="str">
        <f>"235,0"</f>
        <v>235,0</v>
      </c>
      <c r="L44" s="18" t="str">
        <f>"127,1350"</f>
        <v>127,1350</v>
      </c>
      <c r="M44" s="16" t="s">
        <v>39</v>
      </c>
    </row>
    <row r="46" spans="1:12" ht="15">
      <c r="A46" s="48" t="s">
        <v>193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3" ht="12.75">
      <c r="A47" s="13" t="s">
        <v>195</v>
      </c>
      <c r="B47" s="13" t="s">
        <v>196</v>
      </c>
      <c r="C47" s="13" t="s">
        <v>197</v>
      </c>
      <c r="D47" s="13" t="str">
        <f>"0,5346"</f>
        <v>0,5346</v>
      </c>
      <c r="E47" s="13" t="s">
        <v>29</v>
      </c>
      <c r="F47" s="13" t="s">
        <v>30</v>
      </c>
      <c r="G47" s="14" t="s">
        <v>97</v>
      </c>
      <c r="H47" s="14" t="s">
        <v>125</v>
      </c>
      <c r="I47" s="14" t="s">
        <v>138</v>
      </c>
      <c r="J47" s="15"/>
      <c r="K47" s="13" t="str">
        <f>"225,0"</f>
        <v>225,0</v>
      </c>
      <c r="L47" s="14" t="str">
        <f>"120,2850"</f>
        <v>120,2850</v>
      </c>
      <c r="M47" s="13" t="s">
        <v>39</v>
      </c>
    </row>
    <row r="48" spans="1:13" ht="12.75">
      <c r="A48" s="19" t="s">
        <v>671</v>
      </c>
      <c r="B48" s="19" t="s">
        <v>672</v>
      </c>
      <c r="C48" s="19" t="s">
        <v>673</v>
      </c>
      <c r="D48" s="19" t="str">
        <f>"0,5270"</f>
        <v>0,5270</v>
      </c>
      <c r="E48" s="19" t="s">
        <v>68</v>
      </c>
      <c r="F48" s="19" t="s">
        <v>58</v>
      </c>
      <c r="G48" s="20" t="s">
        <v>98</v>
      </c>
      <c r="H48" s="20" t="s">
        <v>155</v>
      </c>
      <c r="I48" s="21" t="s">
        <v>188</v>
      </c>
      <c r="J48" s="21"/>
      <c r="K48" s="19" t="str">
        <f>"220,0"</f>
        <v>220,0</v>
      </c>
      <c r="L48" s="20" t="str">
        <f>"115,9400"</f>
        <v>115,9400</v>
      </c>
      <c r="M48" s="19" t="s">
        <v>87</v>
      </c>
    </row>
    <row r="49" spans="1:13" ht="12.75">
      <c r="A49" s="16" t="s">
        <v>674</v>
      </c>
      <c r="B49" s="16" t="s">
        <v>585</v>
      </c>
      <c r="C49" s="16" t="s">
        <v>586</v>
      </c>
      <c r="D49" s="16" t="str">
        <f>"0,5224"</f>
        <v>0,5224</v>
      </c>
      <c r="E49" s="16" t="s">
        <v>84</v>
      </c>
      <c r="F49" s="16" t="s">
        <v>322</v>
      </c>
      <c r="G49" s="18" t="s">
        <v>98</v>
      </c>
      <c r="H49" s="18" t="s">
        <v>125</v>
      </c>
      <c r="I49" s="17" t="s">
        <v>155</v>
      </c>
      <c r="J49" s="17"/>
      <c r="K49" s="16" t="str">
        <f>"217,5"</f>
        <v>217,5</v>
      </c>
      <c r="L49" s="18" t="str">
        <f>"113,6220"</f>
        <v>113,6220</v>
      </c>
      <c r="M49" s="16" t="s">
        <v>87</v>
      </c>
    </row>
    <row r="51" ht="15">
      <c r="E51" s="8" t="s">
        <v>13</v>
      </c>
    </row>
    <row r="52" ht="15">
      <c r="E52" s="8" t="s">
        <v>14</v>
      </c>
    </row>
    <row r="53" ht="15">
      <c r="E53" s="8" t="s">
        <v>15</v>
      </c>
    </row>
    <row r="54" ht="15">
      <c r="E54" s="8" t="s">
        <v>16</v>
      </c>
    </row>
    <row r="55" ht="15">
      <c r="E55" s="8" t="s">
        <v>16</v>
      </c>
    </row>
    <row r="56" ht="15">
      <c r="E56" s="8" t="s">
        <v>17</v>
      </c>
    </row>
    <row r="57" ht="15">
      <c r="E57" s="8"/>
    </row>
    <row r="59" spans="1:2" ht="18">
      <c r="A59" s="9" t="s">
        <v>18</v>
      </c>
      <c r="B59" s="9"/>
    </row>
    <row r="60" spans="1:2" ht="15">
      <c r="A60" s="22" t="s">
        <v>204</v>
      </c>
      <c r="B60" s="22"/>
    </row>
    <row r="61" spans="1:2" ht="14.25">
      <c r="A61" s="24"/>
      <c r="B61" s="25" t="s">
        <v>205</v>
      </c>
    </row>
    <row r="62" spans="1:5" ht="15">
      <c r="A62" s="26" t="s">
        <v>206</v>
      </c>
      <c r="B62" s="26" t="s">
        <v>207</v>
      </c>
      <c r="C62" s="26" t="s">
        <v>208</v>
      </c>
      <c r="D62" s="26" t="s">
        <v>209</v>
      </c>
      <c r="E62" s="26" t="s">
        <v>210</v>
      </c>
    </row>
    <row r="63" spans="1:5" ht="12.75">
      <c r="A63" s="23" t="s">
        <v>629</v>
      </c>
      <c r="B63" s="4" t="s">
        <v>205</v>
      </c>
      <c r="C63" s="4" t="s">
        <v>213</v>
      </c>
      <c r="D63" s="4" t="s">
        <v>117</v>
      </c>
      <c r="E63" s="27" t="s">
        <v>675</v>
      </c>
    </row>
    <row r="64" spans="1:5" ht="12.75">
      <c r="A64" s="23" t="s">
        <v>25</v>
      </c>
      <c r="B64" s="4" t="s">
        <v>205</v>
      </c>
      <c r="C64" s="4" t="s">
        <v>213</v>
      </c>
      <c r="D64" s="4" t="s">
        <v>38</v>
      </c>
      <c r="E64" s="27" t="s">
        <v>676</v>
      </c>
    </row>
    <row r="65" spans="1:5" ht="12.75">
      <c r="A65" s="23" t="s">
        <v>354</v>
      </c>
      <c r="B65" s="4" t="s">
        <v>205</v>
      </c>
      <c r="C65" s="4" t="s">
        <v>213</v>
      </c>
      <c r="D65" s="4" t="s">
        <v>94</v>
      </c>
      <c r="E65" s="27" t="s">
        <v>677</v>
      </c>
    </row>
    <row r="66" spans="1:5" ht="12.75">
      <c r="A66" s="23" t="s">
        <v>635</v>
      </c>
      <c r="B66" s="4" t="s">
        <v>205</v>
      </c>
      <c r="C66" s="4" t="s">
        <v>239</v>
      </c>
      <c r="D66" s="4" t="s">
        <v>51</v>
      </c>
      <c r="E66" s="27" t="s">
        <v>678</v>
      </c>
    </row>
    <row r="67" spans="1:5" ht="12.75">
      <c r="A67" s="23" t="s">
        <v>619</v>
      </c>
      <c r="B67" s="4" t="s">
        <v>205</v>
      </c>
      <c r="C67" s="4" t="s">
        <v>490</v>
      </c>
      <c r="D67" s="4" t="s">
        <v>31</v>
      </c>
      <c r="E67" s="27" t="s">
        <v>679</v>
      </c>
    </row>
    <row r="69" spans="1:2" ht="14.25">
      <c r="A69" s="24"/>
      <c r="B69" s="25" t="s">
        <v>259</v>
      </c>
    </row>
    <row r="70" spans="1:5" ht="15">
      <c r="A70" s="26" t="s">
        <v>206</v>
      </c>
      <c r="B70" s="26" t="s">
        <v>207</v>
      </c>
      <c r="C70" s="26" t="s">
        <v>208</v>
      </c>
      <c r="D70" s="26" t="s">
        <v>209</v>
      </c>
      <c r="E70" s="26" t="s">
        <v>210</v>
      </c>
    </row>
    <row r="71" spans="1:5" ht="12.75">
      <c r="A71" s="23" t="s">
        <v>624</v>
      </c>
      <c r="B71" s="4" t="s">
        <v>497</v>
      </c>
      <c r="C71" s="4" t="s">
        <v>231</v>
      </c>
      <c r="D71" s="4" t="s">
        <v>94</v>
      </c>
      <c r="E71" s="27" t="s">
        <v>680</v>
      </c>
    </row>
    <row r="72" spans="1:5" ht="12.75">
      <c r="A72" s="23" t="s">
        <v>373</v>
      </c>
      <c r="B72" s="4" t="s">
        <v>497</v>
      </c>
      <c r="C72" s="4" t="s">
        <v>239</v>
      </c>
      <c r="D72" s="4" t="s">
        <v>33</v>
      </c>
      <c r="E72" s="27" t="s">
        <v>681</v>
      </c>
    </row>
    <row r="75" spans="1:2" ht="15">
      <c r="A75" s="22" t="s">
        <v>216</v>
      </c>
      <c r="B75" s="22"/>
    </row>
    <row r="76" spans="1:2" ht="14.25">
      <c r="A76" s="24"/>
      <c r="B76" s="25" t="s">
        <v>217</v>
      </c>
    </row>
    <row r="77" spans="1:5" ht="15">
      <c r="A77" s="26" t="s">
        <v>206</v>
      </c>
      <c r="B77" s="26" t="s">
        <v>207</v>
      </c>
      <c r="C77" s="26" t="s">
        <v>208</v>
      </c>
      <c r="D77" s="26" t="s">
        <v>209</v>
      </c>
      <c r="E77" s="26" t="s">
        <v>210</v>
      </c>
    </row>
    <row r="78" spans="1:5" ht="12.75">
      <c r="A78" s="23" t="s">
        <v>119</v>
      </c>
      <c r="B78" s="4" t="s">
        <v>218</v>
      </c>
      <c r="C78" s="4" t="s">
        <v>79</v>
      </c>
      <c r="D78" s="4" t="s">
        <v>124</v>
      </c>
      <c r="E78" s="27" t="s">
        <v>682</v>
      </c>
    </row>
    <row r="79" spans="1:5" ht="12.75">
      <c r="A79" s="23" t="s">
        <v>100</v>
      </c>
      <c r="B79" s="4" t="s">
        <v>218</v>
      </c>
      <c r="C79" s="4" t="s">
        <v>62</v>
      </c>
      <c r="D79" s="4" t="s">
        <v>98</v>
      </c>
      <c r="E79" s="27" t="s">
        <v>683</v>
      </c>
    </row>
    <row r="81" spans="1:2" ht="14.25">
      <c r="A81" s="24"/>
      <c r="B81" s="25" t="s">
        <v>233</v>
      </c>
    </row>
    <row r="82" spans="1:5" ht="15">
      <c r="A82" s="26" t="s">
        <v>206</v>
      </c>
      <c r="B82" s="26" t="s">
        <v>207</v>
      </c>
      <c r="C82" s="26" t="s">
        <v>208</v>
      </c>
      <c r="D82" s="26" t="s">
        <v>209</v>
      </c>
      <c r="E82" s="26" t="s">
        <v>210</v>
      </c>
    </row>
    <row r="83" spans="1:5" ht="12.75">
      <c r="A83" s="23" t="s">
        <v>80</v>
      </c>
      <c r="B83" s="4" t="s">
        <v>234</v>
      </c>
      <c r="C83" s="4" t="s">
        <v>239</v>
      </c>
      <c r="D83" s="4" t="s">
        <v>97</v>
      </c>
      <c r="E83" s="27" t="s">
        <v>684</v>
      </c>
    </row>
    <row r="85" spans="1:2" ht="14.25">
      <c r="A85" s="24"/>
      <c r="B85" s="25" t="s">
        <v>205</v>
      </c>
    </row>
    <row r="86" spans="1:5" ht="15">
      <c r="A86" s="26" t="s">
        <v>206</v>
      </c>
      <c r="B86" s="26" t="s">
        <v>207</v>
      </c>
      <c r="C86" s="26" t="s">
        <v>208</v>
      </c>
      <c r="D86" s="26" t="s">
        <v>209</v>
      </c>
      <c r="E86" s="26" t="s">
        <v>210</v>
      </c>
    </row>
    <row r="87" spans="1:5" ht="12.75">
      <c r="A87" s="23" t="s">
        <v>656</v>
      </c>
      <c r="B87" s="4" t="s">
        <v>205</v>
      </c>
      <c r="C87" s="4" t="s">
        <v>37</v>
      </c>
      <c r="D87" s="4" t="s">
        <v>659</v>
      </c>
      <c r="E87" s="27" t="s">
        <v>685</v>
      </c>
    </row>
    <row r="88" spans="1:5" ht="12.75">
      <c r="A88" s="23" t="s">
        <v>173</v>
      </c>
      <c r="B88" s="4" t="s">
        <v>205</v>
      </c>
      <c r="C88" s="4" t="s">
        <v>33</v>
      </c>
      <c r="D88" s="4" t="s">
        <v>180</v>
      </c>
      <c r="E88" s="27" t="s">
        <v>686</v>
      </c>
    </row>
    <row r="89" spans="1:5" ht="12.75">
      <c r="A89" s="23" t="s">
        <v>151</v>
      </c>
      <c r="B89" s="4" t="s">
        <v>205</v>
      </c>
      <c r="C89" s="4" t="s">
        <v>37</v>
      </c>
      <c r="D89" s="4" t="s">
        <v>155</v>
      </c>
      <c r="E89" s="27" t="s">
        <v>687</v>
      </c>
    </row>
    <row r="90" spans="1:5" ht="12.75">
      <c r="A90" s="23" t="s">
        <v>665</v>
      </c>
      <c r="B90" s="4" t="s">
        <v>205</v>
      </c>
      <c r="C90" s="4" t="s">
        <v>69</v>
      </c>
      <c r="D90" s="4" t="s">
        <v>180</v>
      </c>
      <c r="E90" s="27" t="s">
        <v>688</v>
      </c>
    </row>
    <row r="91" spans="1:5" ht="12.75">
      <c r="A91" s="23" t="s">
        <v>183</v>
      </c>
      <c r="B91" s="4" t="s">
        <v>205</v>
      </c>
      <c r="C91" s="4" t="s">
        <v>69</v>
      </c>
      <c r="D91" s="4" t="s">
        <v>180</v>
      </c>
      <c r="E91" s="27" t="s">
        <v>689</v>
      </c>
    </row>
    <row r="92" spans="1:5" ht="12.75">
      <c r="A92" s="23" t="s">
        <v>156</v>
      </c>
      <c r="B92" s="4" t="s">
        <v>205</v>
      </c>
      <c r="C92" s="4" t="s">
        <v>37</v>
      </c>
      <c r="D92" s="4" t="s">
        <v>137</v>
      </c>
      <c r="E92" s="27" t="s">
        <v>690</v>
      </c>
    </row>
    <row r="93" spans="1:5" ht="12.75">
      <c r="A93" s="23" t="s">
        <v>641</v>
      </c>
      <c r="B93" s="4" t="s">
        <v>205</v>
      </c>
      <c r="C93" s="4" t="s">
        <v>239</v>
      </c>
      <c r="D93" s="4" t="s">
        <v>460</v>
      </c>
      <c r="E93" s="27" t="s">
        <v>691</v>
      </c>
    </row>
    <row r="94" spans="1:5" ht="12.75">
      <c r="A94" s="23" t="s">
        <v>194</v>
      </c>
      <c r="B94" s="4" t="s">
        <v>205</v>
      </c>
      <c r="C94" s="4" t="s">
        <v>45</v>
      </c>
      <c r="D94" s="4" t="s">
        <v>138</v>
      </c>
      <c r="E94" s="27" t="s">
        <v>692</v>
      </c>
    </row>
    <row r="95" spans="1:5" ht="12.75">
      <c r="A95" s="23" t="s">
        <v>670</v>
      </c>
      <c r="B95" s="4" t="s">
        <v>205</v>
      </c>
      <c r="C95" s="4" t="s">
        <v>45</v>
      </c>
      <c r="D95" s="4" t="s">
        <v>155</v>
      </c>
      <c r="E95" s="27" t="s">
        <v>693</v>
      </c>
    </row>
    <row r="96" spans="1:5" ht="12.75">
      <c r="A96" s="23" t="s">
        <v>583</v>
      </c>
      <c r="B96" s="4" t="s">
        <v>205</v>
      </c>
      <c r="C96" s="4" t="s">
        <v>45</v>
      </c>
      <c r="D96" s="4" t="s">
        <v>125</v>
      </c>
      <c r="E96" s="27" t="s">
        <v>694</v>
      </c>
    </row>
    <row r="97" spans="1:5" ht="12.75">
      <c r="A97" s="23" t="s">
        <v>649</v>
      </c>
      <c r="B97" s="4" t="s">
        <v>205</v>
      </c>
      <c r="C97" s="4" t="s">
        <v>79</v>
      </c>
      <c r="D97" s="4" t="s">
        <v>136</v>
      </c>
      <c r="E97" s="27" t="s">
        <v>695</v>
      </c>
    </row>
    <row r="99" spans="1:2" ht="14.25">
      <c r="A99" s="24"/>
      <c r="B99" s="25" t="s">
        <v>259</v>
      </c>
    </row>
    <row r="100" spans="1:5" ht="15">
      <c r="A100" s="26" t="s">
        <v>206</v>
      </c>
      <c r="B100" s="26" t="s">
        <v>207</v>
      </c>
      <c r="C100" s="26" t="s">
        <v>208</v>
      </c>
      <c r="D100" s="26" t="s">
        <v>209</v>
      </c>
      <c r="E100" s="26" t="s">
        <v>210</v>
      </c>
    </row>
    <row r="101" spans="1:5" ht="12.75">
      <c r="A101" s="23" t="s">
        <v>653</v>
      </c>
      <c r="B101" s="4" t="s">
        <v>592</v>
      </c>
      <c r="C101" s="4" t="s">
        <v>79</v>
      </c>
      <c r="D101" s="4" t="s">
        <v>93</v>
      </c>
      <c r="E101" s="27" t="s">
        <v>696</v>
      </c>
    </row>
    <row r="102" spans="1:5" ht="12.75">
      <c r="A102" s="23" t="s">
        <v>646</v>
      </c>
      <c r="B102" s="4" t="s">
        <v>339</v>
      </c>
      <c r="C102" s="4" t="s">
        <v>62</v>
      </c>
      <c r="D102" s="4" t="s">
        <v>130</v>
      </c>
      <c r="E102" s="27" t="s">
        <v>697</v>
      </c>
    </row>
    <row r="103" spans="1:5" ht="12.75">
      <c r="A103" s="23" t="s">
        <v>662</v>
      </c>
      <c r="B103" s="4" t="s">
        <v>497</v>
      </c>
      <c r="C103" s="4" t="s">
        <v>33</v>
      </c>
      <c r="D103" s="4" t="s">
        <v>198</v>
      </c>
      <c r="E103" s="27" t="s">
        <v>698</v>
      </c>
    </row>
  </sheetData>
  <sheetProtection/>
  <mergeCells count="22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42:L42"/>
    <mergeCell ref="A46:L46"/>
    <mergeCell ref="A16:L16"/>
    <mergeCell ref="A20:L20"/>
    <mergeCell ref="A24:L24"/>
    <mergeCell ref="A28:L28"/>
    <mergeCell ref="A33:L33"/>
    <mergeCell ref="A38:L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7" t="s">
        <v>610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0</v>
      </c>
      <c r="B3" s="42" t="s">
        <v>10</v>
      </c>
      <c r="C3" s="42" t="s">
        <v>11</v>
      </c>
      <c r="D3" s="44" t="s">
        <v>20</v>
      </c>
      <c r="E3" s="44" t="s">
        <v>7</v>
      </c>
      <c r="F3" s="44" t="s">
        <v>12</v>
      </c>
      <c r="G3" s="44" t="s">
        <v>22</v>
      </c>
      <c r="H3" s="44"/>
      <c r="I3" s="44"/>
      <c r="J3" s="44"/>
      <c r="K3" s="44" t="s">
        <v>531</v>
      </c>
      <c r="L3" s="44" t="s">
        <v>6</v>
      </c>
      <c r="M3" s="32" t="s">
        <v>5</v>
      </c>
    </row>
    <row r="4" spans="1:13" s="1" customFormat="1" ht="21" customHeight="1" thickBot="1">
      <c r="A4" s="41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8</v>
      </c>
      <c r="K4" s="43"/>
      <c r="L4" s="43"/>
      <c r="M4" s="33"/>
    </row>
    <row r="5" spans="1:12" ht="15">
      <c r="A5" s="45" t="s">
        <v>317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0" t="s">
        <v>612</v>
      </c>
      <c r="B6" s="10" t="s">
        <v>613</v>
      </c>
      <c r="C6" s="10" t="s">
        <v>614</v>
      </c>
      <c r="D6" s="10" t="str">
        <f>"0,5145"</f>
        <v>0,5145</v>
      </c>
      <c r="E6" s="10" t="s">
        <v>84</v>
      </c>
      <c r="F6" s="10" t="s">
        <v>58</v>
      </c>
      <c r="G6" s="11" t="s">
        <v>615</v>
      </c>
      <c r="H6" s="11" t="s">
        <v>316</v>
      </c>
      <c r="I6" s="12" t="s">
        <v>616</v>
      </c>
      <c r="J6" s="12"/>
      <c r="K6" s="10" t="str">
        <f>"355,0"</f>
        <v>355,0</v>
      </c>
      <c r="L6" s="11" t="str">
        <f>"182,6546"</f>
        <v>182,6546</v>
      </c>
      <c r="M6" s="10" t="s">
        <v>87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22" t="s">
        <v>216</v>
      </c>
      <c r="B17" s="22"/>
    </row>
    <row r="18" spans="1:2" ht="14.25">
      <c r="A18" s="24"/>
      <c r="B18" s="25" t="s">
        <v>205</v>
      </c>
    </row>
    <row r="19" spans="1:5" ht="15">
      <c r="A19" s="26" t="s">
        <v>206</v>
      </c>
      <c r="B19" s="26" t="s">
        <v>207</v>
      </c>
      <c r="C19" s="26" t="s">
        <v>208</v>
      </c>
      <c r="D19" s="26" t="s">
        <v>209</v>
      </c>
      <c r="E19" s="26" t="s">
        <v>210</v>
      </c>
    </row>
    <row r="20" spans="1:5" ht="12.75">
      <c r="A20" s="23" t="s">
        <v>611</v>
      </c>
      <c r="B20" s="4" t="s">
        <v>205</v>
      </c>
      <c r="C20" s="4" t="s">
        <v>93</v>
      </c>
      <c r="D20" s="4" t="s">
        <v>316</v>
      </c>
      <c r="E20" s="27" t="s">
        <v>617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7" t="s">
        <v>594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0</v>
      </c>
      <c r="B3" s="42" t="s">
        <v>10</v>
      </c>
      <c r="C3" s="42" t="s">
        <v>11</v>
      </c>
      <c r="D3" s="44" t="s">
        <v>20</v>
      </c>
      <c r="E3" s="44" t="s">
        <v>7</v>
      </c>
      <c r="F3" s="44" t="s">
        <v>12</v>
      </c>
      <c r="G3" s="44" t="s">
        <v>22</v>
      </c>
      <c r="H3" s="44"/>
      <c r="I3" s="44"/>
      <c r="J3" s="44"/>
      <c r="K3" s="44" t="s">
        <v>531</v>
      </c>
      <c r="L3" s="44" t="s">
        <v>6</v>
      </c>
      <c r="M3" s="32" t="s">
        <v>5</v>
      </c>
    </row>
    <row r="4" spans="1:13" s="1" customFormat="1" ht="21" customHeight="1" thickBot="1">
      <c r="A4" s="41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8</v>
      </c>
      <c r="K4" s="43"/>
      <c r="L4" s="43"/>
      <c r="M4" s="33"/>
    </row>
    <row r="5" spans="1:12" ht="15">
      <c r="A5" s="45" t="s">
        <v>40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0" t="s">
        <v>596</v>
      </c>
      <c r="B6" s="10" t="s">
        <v>597</v>
      </c>
      <c r="C6" s="10" t="s">
        <v>91</v>
      </c>
      <c r="D6" s="10" t="str">
        <f>"0,6645"</f>
        <v>0,6645</v>
      </c>
      <c r="E6" s="10" t="s">
        <v>84</v>
      </c>
      <c r="F6" s="10" t="s">
        <v>298</v>
      </c>
      <c r="G6" s="11" t="s">
        <v>97</v>
      </c>
      <c r="H6" s="11" t="s">
        <v>98</v>
      </c>
      <c r="I6" s="11" t="s">
        <v>124</v>
      </c>
      <c r="J6" s="12"/>
      <c r="K6" s="10" t="str">
        <f>"210,0"</f>
        <v>210,0</v>
      </c>
      <c r="L6" s="11" t="str">
        <f>"142,3359"</f>
        <v>142,3359</v>
      </c>
      <c r="M6" s="10" t="s">
        <v>87</v>
      </c>
    </row>
    <row r="8" spans="1:12" ht="15">
      <c r="A8" s="48" t="s">
        <v>140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13" t="s">
        <v>599</v>
      </c>
      <c r="B9" s="13" t="s">
        <v>600</v>
      </c>
      <c r="C9" s="13" t="s">
        <v>601</v>
      </c>
      <c r="D9" s="13" t="str">
        <f>"0,6069"</f>
        <v>0,6069</v>
      </c>
      <c r="E9" s="13" t="s">
        <v>84</v>
      </c>
      <c r="F9" s="13" t="s">
        <v>322</v>
      </c>
      <c r="G9" s="14" t="s">
        <v>98</v>
      </c>
      <c r="H9" s="14" t="s">
        <v>188</v>
      </c>
      <c r="I9" s="14" t="s">
        <v>291</v>
      </c>
      <c r="J9" s="15"/>
      <c r="K9" s="13" t="str">
        <f>"252,5"</f>
        <v>252,5</v>
      </c>
      <c r="L9" s="14" t="str">
        <f>"153,2422"</f>
        <v>153,2422</v>
      </c>
      <c r="M9" s="13" t="s">
        <v>87</v>
      </c>
    </row>
    <row r="10" spans="1:13" ht="12.75">
      <c r="A10" s="16" t="s">
        <v>602</v>
      </c>
      <c r="B10" s="16" t="s">
        <v>535</v>
      </c>
      <c r="C10" s="16" t="s">
        <v>536</v>
      </c>
      <c r="D10" s="16" t="str">
        <f>"0,5914"</f>
        <v>0,5914</v>
      </c>
      <c r="E10" s="16" t="s">
        <v>84</v>
      </c>
      <c r="F10" s="16" t="s">
        <v>298</v>
      </c>
      <c r="G10" s="18" t="s">
        <v>71</v>
      </c>
      <c r="H10" s="18" t="s">
        <v>86</v>
      </c>
      <c r="I10" s="17" t="s">
        <v>96</v>
      </c>
      <c r="J10" s="17"/>
      <c r="K10" s="16" t="str">
        <f>"170,0"</f>
        <v>170,0</v>
      </c>
      <c r="L10" s="18" t="str">
        <f>"100,5380"</f>
        <v>100,5380</v>
      </c>
      <c r="M10" s="16" t="s">
        <v>87</v>
      </c>
    </row>
    <row r="12" spans="1:12" ht="15">
      <c r="A12" s="48" t="s">
        <v>193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3" ht="12.75">
      <c r="A13" s="10" t="s">
        <v>555</v>
      </c>
      <c r="B13" s="10" t="s">
        <v>556</v>
      </c>
      <c r="C13" s="10" t="s">
        <v>557</v>
      </c>
      <c r="D13" s="10" t="str">
        <f>"0,5283"</f>
        <v>0,5283</v>
      </c>
      <c r="E13" s="10" t="s">
        <v>84</v>
      </c>
      <c r="F13" s="10" t="s">
        <v>298</v>
      </c>
      <c r="G13" s="11" t="s">
        <v>603</v>
      </c>
      <c r="H13" s="11" t="s">
        <v>604</v>
      </c>
      <c r="I13" s="11" t="s">
        <v>605</v>
      </c>
      <c r="J13" s="12"/>
      <c r="K13" s="10" t="str">
        <f>"380,0"</f>
        <v>380,0</v>
      </c>
      <c r="L13" s="11" t="str">
        <f>"200,7540"</f>
        <v>200,7540</v>
      </c>
      <c r="M13" s="10" t="s">
        <v>87</v>
      </c>
    </row>
    <row r="15" ht="15">
      <c r="E15" s="8" t="s">
        <v>13</v>
      </c>
    </row>
    <row r="16" ht="15">
      <c r="E16" s="8" t="s">
        <v>14</v>
      </c>
    </row>
    <row r="17" ht="15">
      <c r="E17" s="8" t="s">
        <v>15</v>
      </c>
    </row>
    <row r="18" ht="15">
      <c r="E18" s="8" t="s">
        <v>16</v>
      </c>
    </row>
    <row r="19" ht="15">
      <c r="E19" s="8" t="s">
        <v>16</v>
      </c>
    </row>
    <row r="20" ht="15">
      <c r="E20" s="8" t="s">
        <v>17</v>
      </c>
    </row>
    <row r="21" ht="15">
      <c r="E21" s="8"/>
    </row>
    <row r="23" spans="1:2" ht="18">
      <c r="A23" s="9" t="s">
        <v>18</v>
      </c>
      <c r="B23" s="9"/>
    </row>
    <row r="24" spans="1:2" ht="15">
      <c r="A24" s="22" t="s">
        <v>216</v>
      </c>
      <c r="B24" s="22"/>
    </row>
    <row r="25" spans="1:2" ht="14.25">
      <c r="A25" s="24"/>
      <c r="B25" s="25" t="s">
        <v>233</v>
      </c>
    </row>
    <row r="26" spans="1:5" ht="15">
      <c r="A26" s="26" t="s">
        <v>206</v>
      </c>
      <c r="B26" s="26" t="s">
        <v>207</v>
      </c>
      <c r="C26" s="26" t="s">
        <v>208</v>
      </c>
      <c r="D26" s="26" t="s">
        <v>209</v>
      </c>
      <c r="E26" s="26" t="s">
        <v>210</v>
      </c>
    </row>
    <row r="27" spans="1:5" ht="12.75">
      <c r="A27" s="23" t="s">
        <v>595</v>
      </c>
      <c r="B27" s="4" t="s">
        <v>234</v>
      </c>
      <c r="C27" s="4" t="s">
        <v>62</v>
      </c>
      <c r="D27" s="4" t="s">
        <v>124</v>
      </c>
      <c r="E27" s="27" t="s">
        <v>606</v>
      </c>
    </row>
    <row r="29" spans="1:2" ht="14.25">
      <c r="A29" s="24"/>
      <c r="B29" s="25" t="s">
        <v>205</v>
      </c>
    </row>
    <row r="30" spans="1:5" ht="15">
      <c r="A30" s="26" t="s">
        <v>206</v>
      </c>
      <c r="B30" s="26" t="s">
        <v>207</v>
      </c>
      <c r="C30" s="26" t="s">
        <v>208</v>
      </c>
      <c r="D30" s="26" t="s">
        <v>209</v>
      </c>
      <c r="E30" s="26" t="s">
        <v>210</v>
      </c>
    </row>
    <row r="31" spans="1:5" ht="12.75">
      <c r="A31" s="23" t="s">
        <v>554</v>
      </c>
      <c r="B31" s="4" t="s">
        <v>205</v>
      </c>
      <c r="C31" s="4" t="s">
        <v>45</v>
      </c>
      <c r="D31" s="4" t="s">
        <v>605</v>
      </c>
      <c r="E31" s="27" t="s">
        <v>607</v>
      </c>
    </row>
    <row r="32" spans="1:5" ht="12.75">
      <c r="A32" s="23" t="s">
        <v>598</v>
      </c>
      <c r="B32" s="4" t="s">
        <v>205</v>
      </c>
      <c r="C32" s="4" t="s">
        <v>37</v>
      </c>
      <c r="D32" s="4" t="s">
        <v>291</v>
      </c>
      <c r="E32" s="27" t="s">
        <v>608</v>
      </c>
    </row>
    <row r="33" spans="1:5" ht="12.75">
      <c r="A33" s="23" t="s">
        <v>533</v>
      </c>
      <c r="B33" s="4" t="s">
        <v>205</v>
      </c>
      <c r="C33" s="4" t="s">
        <v>37</v>
      </c>
      <c r="D33" s="4" t="s">
        <v>86</v>
      </c>
      <c r="E33" s="27" t="s">
        <v>609</v>
      </c>
    </row>
  </sheetData>
  <sheetProtection/>
  <mergeCells count="14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8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3.25390625" style="4" bestFit="1" customWidth="1"/>
    <col min="14" max="16384" width="9.125" style="3" customWidth="1"/>
  </cols>
  <sheetData>
    <row r="1" spans="1:13" s="2" customFormat="1" ht="28.5" customHeight="1">
      <c r="A1" s="47" t="s">
        <v>570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0</v>
      </c>
      <c r="B3" s="42" t="s">
        <v>10</v>
      </c>
      <c r="C3" s="42" t="s">
        <v>11</v>
      </c>
      <c r="D3" s="44" t="s">
        <v>20</v>
      </c>
      <c r="E3" s="44" t="s">
        <v>7</v>
      </c>
      <c r="F3" s="44" t="s">
        <v>12</v>
      </c>
      <c r="G3" s="44" t="s">
        <v>22</v>
      </c>
      <c r="H3" s="44"/>
      <c r="I3" s="44"/>
      <c r="J3" s="44"/>
      <c r="K3" s="44" t="s">
        <v>531</v>
      </c>
      <c r="L3" s="44" t="s">
        <v>6</v>
      </c>
      <c r="M3" s="32" t="s">
        <v>5</v>
      </c>
    </row>
    <row r="4" spans="1:13" s="1" customFormat="1" ht="21" customHeight="1" thickBot="1">
      <c r="A4" s="41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8</v>
      </c>
      <c r="K4" s="43"/>
      <c r="L4" s="43"/>
      <c r="M4" s="33"/>
    </row>
    <row r="5" spans="1:12" ht="15">
      <c r="A5" s="45" t="s">
        <v>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0" t="s">
        <v>65</v>
      </c>
      <c r="B6" s="10" t="s">
        <v>66</v>
      </c>
      <c r="C6" s="10" t="s">
        <v>67</v>
      </c>
      <c r="D6" s="10" t="str">
        <f>"0,8924"</f>
        <v>0,8924</v>
      </c>
      <c r="E6" s="10" t="s">
        <v>68</v>
      </c>
      <c r="F6" s="10" t="s">
        <v>58</v>
      </c>
      <c r="G6" s="11" t="s">
        <v>70</v>
      </c>
      <c r="H6" s="12" t="s">
        <v>71</v>
      </c>
      <c r="I6" s="11" t="s">
        <v>71</v>
      </c>
      <c r="J6" s="12"/>
      <c r="K6" s="10" t="str">
        <f>"160,0"</f>
        <v>160,0</v>
      </c>
      <c r="L6" s="11" t="str">
        <f>"142,7840"</f>
        <v>142,7840</v>
      </c>
      <c r="M6" s="10" t="s">
        <v>72</v>
      </c>
    </row>
    <row r="8" spans="1:12" ht="15">
      <c r="A8" s="48" t="s">
        <v>40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10" t="s">
        <v>572</v>
      </c>
      <c r="B9" s="10" t="s">
        <v>573</v>
      </c>
      <c r="C9" s="10" t="s">
        <v>574</v>
      </c>
      <c r="D9" s="10" t="str">
        <f>"0,6652"</f>
        <v>0,6652</v>
      </c>
      <c r="E9" s="10" t="s">
        <v>84</v>
      </c>
      <c r="F9" s="10" t="s">
        <v>441</v>
      </c>
      <c r="G9" s="11" t="s">
        <v>124</v>
      </c>
      <c r="H9" s="11" t="s">
        <v>125</v>
      </c>
      <c r="I9" s="11" t="s">
        <v>138</v>
      </c>
      <c r="J9" s="12"/>
      <c r="K9" s="10" t="str">
        <f>"225,0"</f>
        <v>225,0</v>
      </c>
      <c r="L9" s="11" t="str">
        <f>"149,6700"</f>
        <v>149,6700</v>
      </c>
      <c r="M9" s="10" t="s">
        <v>87</v>
      </c>
    </row>
    <row r="11" spans="1:12" ht="15">
      <c r="A11" s="48" t="s">
        <v>118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3" ht="12.75">
      <c r="A12" s="10" t="s">
        <v>576</v>
      </c>
      <c r="B12" s="10" t="s">
        <v>577</v>
      </c>
      <c r="C12" s="10" t="s">
        <v>578</v>
      </c>
      <c r="D12" s="10" t="str">
        <f>"0,6364"</f>
        <v>0,6364</v>
      </c>
      <c r="E12" s="10" t="s">
        <v>84</v>
      </c>
      <c r="F12" s="10" t="s">
        <v>441</v>
      </c>
      <c r="G12" s="11" t="s">
        <v>96</v>
      </c>
      <c r="H12" s="11" t="s">
        <v>149</v>
      </c>
      <c r="I12" s="11" t="s">
        <v>198</v>
      </c>
      <c r="J12" s="12"/>
      <c r="K12" s="10" t="str">
        <f>"205,0"</f>
        <v>205,0</v>
      </c>
      <c r="L12" s="11" t="str">
        <f>"130,4620"</f>
        <v>130,4620</v>
      </c>
      <c r="M12" s="10" t="s">
        <v>87</v>
      </c>
    </row>
    <row r="14" spans="1:12" ht="15">
      <c r="A14" s="48" t="s">
        <v>140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3" ht="12.75">
      <c r="A15" s="10" t="s">
        <v>580</v>
      </c>
      <c r="B15" s="10" t="s">
        <v>581</v>
      </c>
      <c r="C15" s="10" t="s">
        <v>582</v>
      </c>
      <c r="D15" s="10" t="str">
        <f>"0,5857"</f>
        <v>0,5857</v>
      </c>
      <c r="E15" s="10" t="s">
        <v>84</v>
      </c>
      <c r="F15" s="10" t="s">
        <v>410</v>
      </c>
      <c r="G15" s="11" t="s">
        <v>70</v>
      </c>
      <c r="H15" s="11" t="s">
        <v>71</v>
      </c>
      <c r="I15" s="12" t="s">
        <v>460</v>
      </c>
      <c r="J15" s="12"/>
      <c r="K15" s="10" t="str">
        <f>"160,0"</f>
        <v>160,0</v>
      </c>
      <c r="L15" s="11" t="str">
        <f>"188,3611"</f>
        <v>188,3611</v>
      </c>
      <c r="M15" s="10" t="s">
        <v>87</v>
      </c>
    </row>
    <row r="17" spans="1:12" ht="15">
      <c r="A17" s="48" t="s">
        <v>193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3" ht="12.75">
      <c r="A18" s="10" t="s">
        <v>584</v>
      </c>
      <c r="B18" s="10" t="s">
        <v>585</v>
      </c>
      <c r="C18" s="10" t="s">
        <v>586</v>
      </c>
      <c r="D18" s="10" t="str">
        <f>"0,5224"</f>
        <v>0,5224</v>
      </c>
      <c r="E18" s="10" t="s">
        <v>84</v>
      </c>
      <c r="F18" s="10" t="s">
        <v>322</v>
      </c>
      <c r="G18" s="11" t="s">
        <v>97</v>
      </c>
      <c r="H18" s="11" t="s">
        <v>587</v>
      </c>
      <c r="I18" s="11" t="s">
        <v>198</v>
      </c>
      <c r="J18" s="12"/>
      <c r="K18" s="10" t="str">
        <f>"205,0"</f>
        <v>205,0</v>
      </c>
      <c r="L18" s="11" t="str">
        <f>"107,0920"</f>
        <v>107,0920</v>
      </c>
      <c r="M18" s="10" t="s">
        <v>87</v>
      </c>
    </row>
    <row r="20" ht="15">
      <c r="E20" s="8" t="s">
        <v>13</v>
      </c>
    </row>
    <row r="21" ht="15">
      <c r="E21" s="8" t="s">
        <v>14</v>
      </c>
    </row>
    <row r="22" ht="15">
      <c r="E22" s="8" t="s">
        <v>15</v>
      </c>
    </row>
    <row r="23" ht="15">
      <c r="E23" s="8" t="s">
        <v>16</v>
      </c>
    </row>
    <row r="24" ht="15">
      <c r="E24" s="8" t="s">
        <v>16</v>
      </c>
    </row>
    <row r="25" ht="15">
      <c r="E25" s="8" t="s">
        <v>17</v>
      </c>
    </row>
    <row r="26" ht="15">
      <c r="E26" s="8"/>
    </row>
    <row r="28" spans="1:2" ht="18">
      <c r="A28" s="9" t="s">
        <v>18</v>
      </c>
      <c r="B28" s="9"/>
    </row>
    <row r="29" spans="1:2" ht="15">
      <c r="A29" s="22" t="s">
        <v>216</v>
      </c>
      <c r="B29" s="22"/>
    </row>
    <row r="30" spans="1:2" ht="14.25">
      <c r="A30" s="24"/>
      <c r="B30" s="25" t="s">
        <v>205</v>
      </c>
    </row>
    <row r="31" spans="1:5" ht="15">
      <c r="A31" s="26" t="s">
        <v>206</v>
      </c>
      <c r="B31" s="26" t="s">
        <v>207</v>
      </c>
      <c r="C31" s="26" t="s">
        <v>208</v>
      </c>
      <c r="D31" s="26" t="s">
        <v>209</v>
      </c>
      <c r="E31" s="26" t="s">
        <v>210</v>
      </c>
    </row>
    <row r="32" spans="1:5" ht="12.75">
      <c r="A32" s="23" t="s">
        <v>571</v>
      </c>
      <c r="B32" s="4" t="s">
        <v>205</v>
      </c>
      <c r="C32" s="4" t="s">
        <v>62</v>
      </c>
      <c r="D32" s="4" t="s">
        <v>138</v>
      </c>
      <c r="E32" s="27" t="s">
        <v>588</v>
      </c>
    </row>
    <row r="33" spans="1:5" ht="12.75">
      <c r="A33" s="23" t="s">
        <v>64</v>
      </c>
      <c r="B33" s="4" t="s">
        <v>205</v>
      </c>
      <c r="C33" s="4" t="s">
        <v>213</v>
      </c>
      <c r="D33" s="4" t="s">
        <v>71</v>
      </c>
      <c r="E33" s="27" t="s">
        <v>589</v>
      </c>
    </row>
    <row r="34" spans="1:5" ht="12.75">
      <c r="A34" s="23" t="s">
        <v>575</v>
      </c>
      <c r="B34" s="4" t="s">
        <v>205</v>
      </c>
      <c r="C34" s="4" t="s">
        <v>79</v>
      </c>
      <c r="D34" s="4" t="s">
        <v>198</v>
      </c>
      <c r="E34" s="27" t="s">
        <v>590</v>
      </c>
    </row>
    <row r="35" spans="1:5" ht="12.75">
      <c r="A35" s="23" t="s">
        <v>583</v>
      </c>
      <c r="B35" s="4" t="s">
        <v>205</v>
      </c>
      <c r="C35" s="4" t="s">
        <v>45</v>
      </c>
      <c r="D35" s="4" t="s">
        <v>198</v>
      </c>
      <c r="E35" s="27" t="s">
        <v>591</v>
      </c>
    </row>
    <row r="37" spans="1:2" ht="14.25">
      <c r="A37" s="24"/>
      <c r="B37" s="25" t="s">
        <v>259</v>
      </c>
    </row>
    <row r="38" spans="1:5" ht="15">
      <c r="A38" s="26" t="s">
        <v>206</v>
      </c>
      <c r="B38" s="26" t="s">
        <v>207</v>
      </c>
      <c r="C38" s="26" t="s">
        <v>208</v>
      </c>
      <c r="D38" s="26" t="s">
        <v>209</v>
      </c>
      <c r="E38" s="26" t="s">
        <v>210</v>
      </c>
    </row>
    <row r="39" spans="1:5" ht="12.75">
      <c r="A39" s="23" t="s">
        <v>579</v>
      </c>
      <c r="B39" s="4" t="s">
        <v>592</v>
      </c>
      <c r="C39" s="4" t="s">
        <v>37</v>
      </c>
      <c r="D39" s="4" t="s">
        <v>71</v>
      </c>
      <c r="E39" s="27" t="s">
        <v>593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17:L17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7">
      <selection activeCell="A15" sqref="A15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0.75390625" style="4" bestFit="1" customWidth="1"/>
    <col min="14" max="16384" width="9.125" style="3" customWidth="1"/>
  </cols>
  <sheetData>
    <row r="1" spans="1:13" s="2" customFormat="1" ht="28.5" customHeight="1">
      <c r="A1" s="47" t="s">
        <v>532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0</v>
      </c>
      <c r="B3" s="42" t="s">
        <v>10</v>
      </c>
      <c r="C3" s="42" t="s">
        <v>11</v>
      </c>
      <c r="D3" s="44" t="s">
        <v>20</v>
      </c>
      <c r="E3" s="44" t="s">
        <v>7</v>
      </c>
      <c r="F3" s="44" t="s">
        <v>12</v>
      </c>
      <c r="G3" s="44" t="s">
        <v>22</v>
      </c>
      <c r="H3" s="44"/>
      <c r="I3" s="44"/>
      <c r="J3" s="44"/>
      <c r="K3" s="44" t="s">
        <v>531</v>
      </c>
      <c r="L3" s="44" t="s">
        <v>6</v>
      </c>
      <c r="M3" s="32" t="s">
        <v>5</v>
      </c>
    </row>
    <row r="4" spans="1:13" s="1" customFormat="1" ht="21" customHeight="1" thickBot="1">
      <c r="A4" s="41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8</v>
      </c>
      <c r="K4" s="43"/>
      <c r="L4" s="43"/>
      <c r="M4" s="33"/>
    </row>
    <row r="5" spans="1:12" ht="15">
      <c r="A5" s="45" t="s">
        <v>140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0" t="s">
        <v>534</v>
      </c>
      <c r="B6" s="10" t="s">
        <v>535</v>
      </c>
      <c r="C6" s="10" t="s">
        <v>536</v>
      </c>
      <c r="D6" s="10" t="str">
        <f>"0,5914"</f>
        <v>0,5914</v>
      </c>
      <c r="E6" s="10" t="s">
        <v>84</v>
      </c>
      <c r="F6" s="10" t="s">
        <v>298</v>
      </c>
      <c r="G6" s="11" t="s">
        <v>51</v>
      </c>
      <c r="H6" s="11" t="s">
        <v>445</v>
      </c>
      <c r="I6" s="11" t="s">
        <v>179</v>
      </c>
      <c r="J6" s="12"/>
      <c r="K6" s="10" t="str">
        <f>"132,5"</f>
        <v>132,5</v>
      </c>
      <c r="L6" s="11" t="str">
        <f>"78,3605"</f>
        <v>78,3605</v>
      </c>
      <c r="M6" s="10" t="s">
        <v>87</v>
      </c>
    </row>
    <row r="8" spans="1:12" ht="15">
      <c r="A8" s="48" t="s">
        <v>167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10" t="s">
        <v>538</v>
      </c>
      <c r="B9" s="10" t="s">
        <v>539</v>
      </c>
      <c r="C9" s="10" t="s">
        <v>540</v>
      </c>
      <c r="D9" s="10" t="str">
        <f>"0,5636"</f>
        <v>0,5636</v>
      </c>
      <c r="E9" s="10" t="s">
        <v>84</v>
      </c>
      <c r="F9" s="10" t="s">
        <v>58</v>
      </c>
      <c r="G9" s="11" t="s">
        <v>71</v>
      </c>
      <c r="H9" s="11" t="s">
        <v>460</v>
      </c>
      <c r="I9" s="12" t="s">
        <v>203</v>
      </c>
      <c r="J9" s="12"/>
      <c r="K9" s="10" t="str">
        <f>"167,5"</f>
        <v>167,5</v>
      </c>
      <c r="L9" s="11" t="str">
        <f>"94,4030"</f>
        <v>94,4030</v>
      </c>
      <c r="M9" s="10" t="s">
        <v>87</v>
      </c>
    </row>
    <row r="11" spans="1:12" ht="15">
      <c r="A11" s="48" t="s">
        <v>182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3" ht="12.75">
      <c r="A12" s="13" t="s">
        <v>542</v>
      </c>
      <c r="B12" s="13" t="s">
        <v>543</v>
      </c>
      <c r="C12" s="13" t="s">
        <v>544</v>
      </c>
      <c r="D12" s="13" t="str">
        <f>"0,5395"</f>
        <v>0,5395</v>
      </c>
      <c r="E12" s="13" t="s">
        <v>84</v>
      </c>
      <c r="F12" s="13" t="s">
        <v>58</v>
      </c>
      <c r="G12" s="14" t="s">
        <v>98</v>
      </c>
      <c r="H12" s="14" t="s">
        <v>124</v>
      </c>
      <c r="I12" s="15" t="s">
        <v>155</v>
      </c>
      <c r="J12" s="15"/>
      <c r="K12" s="13" t="str">
        <f>"210,0"</f>
        <v>210,0</v>
      </c>
      <c r="L12" s="14" t="str">
        <f>"113,2950"</f>
        <v>113,2950</v>
      </c>
      <c r="M12" s="13" t="s">
        <v>87</v>
      </c>
    </row>
    <row r="13" spans="1:13" ht="12.75">
      <c r="A13" s="19" t="s">
        <v>542</v>
      </c>
      <c r="B13" s="19" t="s">
        <v>545</v>
      </c>
      <c r="C13" s="19" t="s">
        <v>544</v>
      </c>
      <c r="D13" s="19" t="str">
        <f>"0,5395"</f>
        <v>0,5395</v>
      </c>
      <c r="E13" s="19" t="s">
        <v>84</v>
      </c>
      <c r="F13" s="19" t="s">
        <v>58</v>
      </c>
      <c r="G13" s="20" t="s">
        <v>98</v>
      </c>
      <c r="H13" s="20" t="s">
        <v>124</v>
      </c>
      <c r="I13" s="21" t="s">
        <v>155</v>
      </c>
      <c r="J13" s="21"/>
      <c r="K13" s="19" t="str">
        <f>"210,0"</f>
        <v>210,0</v>
      </c>
      <c r="L13" s="20" t="str">
        <f>"113,2950"</f>
        <v>113,2950</v>
      </c>
      <c r="M13" s="19" t="s">
        <v>87</v>
      </c>
    </row>
    <row r="14" spans="1:13" ht="12.75">
      <c r="A14" s="19" t="s">
        <v>547</v>
      </c>
      <c r="B14" s="19" t="s">
        <v>548</v>
      </c>
      <c r="C14" s="19" t="s">
        <v>549</v>
      </c>
      <c r="D14" s="19" t="str">
        <f>"0,5375"</f>
        <v>0,5375</v>
      </c>
      <c r="E14" s="19" t="s">
        <v>84</v>
      </c>
      <c r="F14" s="19" t="s">
        <v>165</v>
      </c>
      <c r="G14" s="20" t="s">
        <v>149</v>
      </c>
      <c r="H14" s="20" t="s">
        <v>98</v>
      </c>
      <c r="I14" s="21" t="s">
        <v>198</v>
      </c>
      <c r="J14" s="21"/>
      <c r="K14" s="19" t="str">
        <f>"200,0"</f>
        <v>200,0</v>
      </c>
      <c r="L14" s="20" t="str">
        <f>"107,5000"</f>
        <v>107,5000</v>
      </c>
      <c r="M14" s="19" t="s">
        <v>87</v>
      </c>
    </row>
    <row r="15" spans="1:13" ht="12.75">
      <c r="A15" s="16" t="s">
        <v>551</v>
      </c>
      <c r="B15" s="16" t="s">
        <v>552</v>
      </c>
      <c r="C15" s="16" t="s">
        <v>553</v>
      </c>
      <c r="D15" s="16" t="str">
        <f>"0,5380"</f>
        <v>0,5380</v>
      </c>
      <c r="E15" s="16" t="s">
        <v>104</v>
      </c>
      <c r="F15" s="16" t="s">
        <v>105</v>
      </c>
      <c r="G15" s="18" t="s">
        <v>96</v>
      </c>
      <c r="H15" s="18" t="s">
        <v>97</v>
      </c>
      <c r="I15" s="17" t="s">
        <v>98</v>
      </c>
      <c r="J15" s="17"/>
      <c r="K15" s="16" t="str">
        <f>"190,0"</f>
        <v>190,0</v>
      </c>
      <c r="L15" s="18" t="str">
        <f>"102,2200"</f>
        <v>102,2200</v>
      </c>
      <c r="M15" s="16" t="s">
        <v>131</v>
      </c>
    </row>
    <row r="17" spans="1:12" ht="15">
      <c r="A17" s="48" t="s">
        <v>193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3" ht="12.75">
      <c r="A18" s="10" t="s">
        <v>555</v>
      </c>
      <c r="B18" s="10" t="s">
        <v>556</v>
      </c>
      <c r="C18" s="10" t="s">
        <v>557</v>
      </c>
      <c r="D18" s="10" t="str">
        <f>"0,5283"</f>
        <v>0,5283</v>
      </c>
      <c r="E18" s="10" t="s">
        <v>84</v>
      </c>
      <c r="F18" s="10" t="s">
        <v>298</v>
      </c>
      <c r="G18" s="11" t="s">
        <v>98</v>
      </c>
      <c r="H18" s="11" t="s">
        <v>187</v>
      </c>
      <c r="I18" s="11" t="s">
        <v>138</v>
      </c>
      <c r="J18" s="12"/>
      <c r="K18" s="10" t="str">
        <f>"225,0"</f>
        <v>225,0</v>
      </c>
      <c r="L18" s="11" t="str">
        <f>"118,8675"</f>
        <v>118,8675</v>
      </c>
      <c r="M18" s="10" t="s">
        <v>87</v>
      </c>
    </row>
    <row r="20" spans="1:12" ht="15">
      <c r="A20" s="48" t="s">
        <v>317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3" ht="12.75">
      <c r="A21" s="10" t="s">
        <v>559</v>
      </c>
      <c r="B21" s="10" t="s">
        <v>560</v>
      </c>
      <c r="C21" s="10" t="s">
        <v>561</v>
      </c>
      <c r="D21" s="10" t="str">
        <f>"0,5035"</f>
        <v>0,5035</v>
      </c>
      <c r="E21" s="10" t="s">
        <v>84</v>
      </c>
      <c r="F21" s="10" t="s">
        <v>298</v>
      </c>
      <c r="G21" s="11" t="s">
        <v>97</v>
      </c>
      <c r="H21" s="11" t="s">
        <v>98</v>
      </c>
      <c r="I21" s="11" t="s">
        <v>124</v>
      </c>
      <c r="J21" s="12"/>
      <c r="K21" s="10" t="str">
        <f>"210,0"</f>
        <v>210,0</v>
      </c>
      <c r="L21" s="11" t="str">
        <f>"105,7350"</f>
        <v>105,7350</v>
      </c>
      <c r="M21" s="10" t="s">
        <v>562</v>
      </c>
    </row>
    <row r="23" ht="15">
      <c r="E23" s="8" t="s">
        <v>13</v>
      </c>
    </row>
    <row r="24" ht="15">
      <c r="E24" s="8" t="s">
        <v>14</v>
      </c>
    </row>
    <row r="25" ht="15">
      <c r="E25" s="8" t="s">
        <v>15</v>
      </c>
    </row>
    <row r="26" ht="15">
      <c r="E26" s="8" t="s">
        <v>16</v>
      </c>
    </row>
    <row r="27" ht="15">
      <c r="E27" s="8" t="s">
        <v>16</v>
      </c>
    </row>
    <row r="28" ht="15">
      <c r="E28" s="8" t="s">
        <v>17</v>
      </c>
    </row>
    <row r="29" ht="15">
      <c r="E29" s="8"/>
    </row>
    <row r="31" spans="1:2" ht="18">
      <c r="A31" s="9" t="s">
        <v>18</v>
      </c>
      <c r="B31" s="9"/>
    </row>
    <row r="32" spans="1:2" ht="15">
      <c r="A32" s="22" t="s">
        <v>216</v>
      </c>
      <c r="B32" s="22"/>
    </row>
    <row r="33" spans="1:2" ht="14.25">
      <c r="A33" s="24"/>
      <c r="B33" s="25" t="s">
        <v>233</v>
      </c>
    </row>
    <row r="34" spans="1:5" ht="15">
      <c r="A34" s="26" t="s">
        <v>206</v>
      </c>
      <c r="B34" s="26" t="s">
        <v>207</v>
      </c>
      <c r="C34" s="26" t="s">
        <v>208</v>
      </c>
      <c r="D34" s="26" t="s">
        <v>209</v>
      </c>
      <c r="E34" s="26" t="s">
        <v>210</v>
      </c>
    </row>
    <row r="35" spans="1:5" ht="12.75">
      <c r="A35" s="23" t="s">
        <v>541</v>
      </c>
      <c r="B35" s="4" t="s">
        <v>234</v>
      </c>
      <c r="C35" s="4" t="s">
        <v>69</v>
      </c>
      <c r="D35" s="4" t="s">
        <v>124</v>
      </c>
      <c r="E35" s="27" t="s">
        <v>563</v>
      </c>
    </row>
    <row r="37" spans="1:2" ht="14.25">
      <c r="A37" s="24"/>
      <c r="B37" s="25" t="s">
        <v>205</v>
      </c>
    </row>
    <row r="38" spans="1:5" ht="15">
      <c r="A38" s="26" t="s">
        <v>206</v>
      </c>
      <c r="B38" s="26" t="s">
        <v>207</v>
      </c>
      <c r="C38" s="26" t="s">
        <v>208</v>
      </c>
      <c r="D38" s="26" t="s">
        <v>209</v>
      </c>
      <c r="E38" s="26" t="s">
        <v>210</v>
      </c>
    </row>
    <row r="39" spans="1:5" ht="12.75">
      <c r="A39" s="23" t="s">
        <v>554</v>
      </c>
      <c r="B39" s="4" t="s">
        <v>205</v>
      </c>
      <c r="C39" s="4" t="s">
        <v>45</v>
      </c>
      <c r="D39" s="4" t="s">
        <v>138</v>
      </c>
      <c r="E39" s="27" t="s">
        <v>564</v>
      </c>
    </row>
    <row r="40" spans="1:5" ht="12.75">
      <c r="A40" s="23" t="s">
        <v>541</v>
      </c>
      <c r="B40" s="4" t="s">
        <v>205</v>
      </c>
      <c r="C40" s="4" t="s">
        <v>69</v>
      </c>
      <c r="D40" s="4" t="s">
        <v>124</v>
      </c>
      <c r="E40" s="27" t="s">
        <v>563</v>
      </c>
    </row>
    <row r="41" spans="1:5" ht="12.75">
      <c r="A41" s="23" t="s">
        <v>546</v>
      </c>
      <c r="B41" s="4" t="s">
        <v>205</v>
      </c>
      <c r="C41" s="4" t="s">
        <v>69</v>
      </c>
      <c r="D41" s="4" t="s">
        <v>98</v>
      </c>
      <c r="E41" s="27" t="s">
        <v>565</v>
      </c>
    </row>
    <row r="42" spans="1:5" ht="12.75">
      <c r="A42" s="23" t="s">
        <v>558</v>
      </c>
      <c r="B42" s="4" t="s">
        <v>205</v>
      </c>
      <c r="C42" s="4" t="s">
        <v>93</v>
      </c>
      <c r="D42" s="4" t="s">
        <v>124</v>
      </c>
      <c r="E42" s="27" t="s">
        <v>566</v>
      </c>
    </row>
    <row r="43" spans="1:5" ht="12.75">
      <c r="A43" s="23" t="s">
        <v>550</v>
      </c>
      <c r="B43" s="4" t="s">
        <v>205</v>
      </c>
      <c r="C43" s="4" t="s">
        <v>69</v>
      </c>
      <c r="D43" s="4" t="s">
        <v>97</v>
      </c>
      <c r="E43" s="27" t="s">
        <v>567</v>
      </c>
    </row>
    <row r="44" spans="1:5" ht="12.75">
      <c r="A44" s="23" t="s">
        <v>537</v>
      </c>
      <c r="B44" s="4" t="s">
        <v>205</v>
      </c>
      <c r="C44" s="4" t="s">
        <v>33</v>
      </c>
      <c r="D44" s="4" t="s">
        <v>460</v>
      </c>
      <c r="E44" s="27" t="s">
        <v>568</v>
      </c>
    </row>
    <row r="45" spans="1:5" ht="12.75">
      <c r="A45" s="23" t="s">
        <v>533</v>
      </c>
      <c r="B45" s="4" t="s">
        <v>205</v>
      </c>
      <c r="C45" s="4" t="s">
        <v>37</v>
      </c>
      <c r="D45" s="4" t="s">
        <v>179</v>
      </c>
      <c r="E45" s="27" t="s">
        <v>569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7:L17"/>
    <mergeCell ref="A20:L20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A1">
      <selection activeCell="A69" sqref="A69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8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3.25390625" style="4" bestFit="1" customWidth="1"/>
    <col min="14" max="16384" width="9.125" style="3" customWidth="1"/>
  </cols>
  <sheetData>
    <row r="1" spans="1:13" s="2" customFormat="1" ht="28.5" customHeight="1">
      <c r="A1" s="47" t="s">
        <v>341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1.5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0</v>
      </c>
      <c r="B3" s="42" t="s">
        <v>10</v>
      </c>
      <c r="C3" s="42" t="s">
        <v>11</v>
      </c>
      <c r="D3" s="44" t="s">
        <v>20</v>
      </c>
      <c r="E3" s="44" t="s">
        <v>7</v>
      </c>
      <c r="F3" s="44" t="s">
        <v>12</v>
      </c>
      <c r="G3" s="44" t="s">
        <v>22</v>
      </c>
      <c r="H3" s="44"/>
      <c r="I3" s="44"/>
      <c r="J3" s="44"/>
      <c r="K3" s="44" t="s">
        <v>531</v>
      </c>
      <c r="L3" s="44" t="s">
        <v>6</v>
      </c>
      <c r="M3" s="32" t="s">
        <v>5</v>
      </c>
    </row>
    <row r="4" spans="1:13" s="1" customFormat="1" ht="21" customHeight="1" thickBot="1">
      <c r="A4" s="41"/>
      <c r="B4" s="43"/>
      <c r="C4" s="43"/>
      <c r="D4" s="43"/>
      <c r="E4" s="43"/>
      <c r="F4" s="43"/>
      <c r="G4" s="7">
        <v>1</v>
      </c>
      <c r="H4" s="7">
        <v>2</v>
      </c>
      <c r="I4" s="7">
        <v>3</v>
      </c>
      <c r="J4" s="7" t="s">
        <v>8</v>
      </c>
      <c r="K4" s="43"/>
      <c r="L4" s="43"/>
      <c r="M4" s="33"/>
    </row>
    <row r="5" spans="1:12" ht="15">
      <c r="A5" s="45" t="s">
        <v>342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0" t="s">
        <v>344</v>
      </c>
      <c r="B6" s="10" t="s">
        <v>345</v>
      </c>
      <c r="C6" s="10" t="s">
        <v>346</v>
      </c>
      <c r="D6" s="10" t="str">
        <f>"1,0704"</f>
        <v>1,0704</v>
      </c>
      <c r="E6" s="10" t="s">
        <v>68</v>
      </c>
      <c r="F6" s="10" t="s">
        <v>58</v>
      </c>
      <c r="G6" s="11" t="s">
        <v>269</v>
      </c>
      <c r="H6" s="11" t="s">
        <v>270</v>
      </c>
      <c r="I6" s="12" t="s">
        <v>34</v>
      </c>
      <c r="J6" s="12"/>
      <c r="K6" s="10" t="str">
        <f>"32,5"</f>
        <v>32,5</v>
      </c>
      <c r="L6" s="11" t="str">
        <f>"42,7872"</f>
        <v>42,7872</v>
      </c>
      <c r="M6" s="10" t="s">
        <v>72</v>
      </c>
    </row>
    <row r="8" spans="1:12" ht="15">
      <c r="A8" s="48" t="s">
        <v>52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10" t="s">
        <v>348</v>
      </c>
      <c r="B9" s="10" t="s">
        <v>349</v>
      </c>
      <c r="C9" s="10" t="s">
        <v>350</v>
      </c>
      <c r="D9" s="10" t="str">
        <f>"1,0008"</f>
        <v>1,0008</v>
      </c>
      <c r="E9" s="10" t="s">
        <v>84</v>
      </c>
      <c r="F9" s="10" t="s">
        <v>351</v>
      </c>
      <c r="G9" s="11" t="s">
        <v>35</v>
      </c>
      <c r="H9" s="11" t="s">
        <v>352</v>
      </c>
      <c r="I9" s="11" t="s">
        <v>353</v>
      </c>
      <c r="J9" s="12"/>
      <c r="K9" s="10" t="str">
        <f>"52,5"</f>
        <v>52,5</v>
      </c>
      <c r="L9" s="11" t="str">
        <f>"52,5420"</f>
        <v>52,5420</v>
      </c>
      <c r="M9" s="10" t="s">
        <v>87</v>
      </c>
    </row>
    <row r="11" spans="1:12" ht="15">
      <c r="A11" s="48" t="s">
        <v>24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3" ht="12.75">
      <c r="A12" s="10" t="s">
        <v>355</v>
      </c>
      <c r="B12" s="10" t="s">
        <v>356</v>
      </c>
      <c r="C12" s="10" t="s">
        <v>357</v>
      </c>
      <c r="D12" s="10" t="str">
        <f>"0,9124"</f>
        <v>0,9124</v>
      </c>
      <c r="E12" s="10" t="s">
        <v>358</v>
      </c>
      <c r="F12" s="10" t="s">
        <v>298</v>
      </c>
      <c r="G12" s="11" t="s">
        <v>359</v>
      </c>
      <c r="H12" s="12" t="s">
        <v>59</v>
      </c>
      <c r="I12" s="12" t="s">
        <v>59</v>
      </c>
      <c r="J12" s="12"/>
      <c r="K12" s="10" t="str">
        <f>"45,0"</f>
        <v>45,0</v>
      </c>
      <c r="L12" s="11" t="str">
        <f>"41,0580"</f>
        <v>41,0580</v>
      </c>
      <c r="M12" s="10" t="s">
        <v>87</v>
      </c>
    </row>
    <row r="14" spans="1:12" ht="15">
      <c r="A14" s="48" t="s">
        <v>264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3" ht="12.75">
      <c r="A15" s="13" t="s">
        <v>361</v>
      </c>
      <c r="B15" s="13" t="s">
        <v>362</v>
      </c>
      <c r="C15" s="13" t="s">
        <v>363</v>
      </c>
      <c r="D15" s="13" t="str">
        <f>"0,8634"</f>
        <v>0,8634</v>
      </c>
      <c r="E15" s="13" t="s">
        <v>84</v>
      </c>
      <c r="F15" s="13" t="s">
        <v>58</v>
      </c>
      <c r="G15" s="14" t="s">
        <v>35</v>
      </c>
      <c r="H15" s="14" t="s">
        <v>359</v>
      </c>
      <c r="I15" s="15" t="s">
        <v>352</v>
      </c>
      <c r="J15" s="15"/>
      <c r="K15" s="13" t="str">
        <f>"45,0"</f>
        <v>45,0</v>
      </c>
      <c r="L15" s="14" t="str">
        <f>"38,8530"</f>
        <v>38,8530</v>
      </c>
      <c r="M15" s="13" t="s">
        <v>364</v>
      </c>
    </row>
    <row r="16" spans="1:13" ht="12.75">
      <c r="A16" s="16" t="s">
        <v>366</v>
      </c>
      <c r="B16" s="16" t="s">
        <v>367</v>
      </c>
      <c r="C16" s="16" t="s">
        <v>368</v>
      </c>
      <c r="D16" s="16" t="str">
        <f>"0,8731"</f>
        <v>0,8731</v>
      </c>
      <c r="E16" s="16" t="s">
        <v>84</v>
      </c>
      <c r="F16" s="16" t="s">
        <v>58</v>
      </c>
      <c r="G16" s="18" t="s">
        <v>35</v>
      </c>
      <c r="H16" s="17" t="s">
        <v>359</v>
      </c>
      <c r="I16" s="17" t="s">
        <v>359</v>
      </c>
      <c r="J16" s="17"/>
      <c r="K16" s="16" t="str">
        <f>"40,0"</f>
        <v>40,0</v>
      </c>
      <c r="L16" s="18" t="str">
        <f>"34,9260"</f>
        <v>34,9260</v>
      </c>
      <c r="M16" s="16" t="s">
        <v>364</v>
      </c>
    </row>
    <row r="18" spans="1:12" ht="15">
      <c r="A18" s="48" t="s">
        <v>73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3" ht="12.75">
      <c r="A19" s="13" t="s">
        <v>370</v>
      </c>
      <c r="B19" s="13" t="s">
        <v>371</v>
      </c>
      <c r="C19" s="13" t="s">
        <v>372</v>
      </c>
      <c r="D19" s="13" t="str">
        <f>"0,8491"</f>
        <v>0,8491</v>
      </c>
      <c r="E19" s="13" t="s">
        <v>84</v>
      </c>
      <c r="F19" s="13" t="s">
        <v>165</v>
      </c>
      <c r="G19" s="15" t="s">
        <v>276</v>
      </c>
      <c r="H19" s="14" t="s">
        <v>276</v>
      </c>
      <c r="I19" s="15" t="s">
        <v>48</v>
      </c>
      <c r="J19" s="15"/>
      <c r="K19" s="13" t="str">
        <f>"60,0"</f>
        <v>60,0</v>
      </c>
      <c r="L19" s="14" t="str">
        <f>"50,9460"</f>
        <v>50,9460</v>
      </c>
      <c r="M19" s="13" t="s">
        <v>87</v>
      </c>
    </row>
    <row r="20" spans="1:13" ht="12.75">
      <c r="A20" s="16" t="s">
        <v>374</v>
      </c>
      <c r="B20" s="16" t="s">
        <v>375</v>
      </c>
      <c r="C20" s="16" t="s">
        <v>376</v>
      </c>
      <c r="D20" s="16" t="str">
        <f>"0,8037"</f>
        <v>0,8037</v>
      </c>
      <c r="E20" s="16" t="s">
        <v>358</v>
      </c>
      <c r="F20" s="16" t="s">
        <v>298</v>
      </c>
      <c r="G20" s="18" t="s">
        <v>359</v>
      </c>
      <c r="H20" s="17" t="s">
        <v>59</v>
      </c>
      <c r="I20" s="18" t="s">
        <v>59</v>
      </c>
      <c r="J20" s="17"/>
      <c r="K20" s="16" t="str">
        <f>"50,0"</f>
        <v>50,0</v>
      </c>
      <c r="L20" s="18" t="str">
        <f>"40,1825"</f>
        <v>40,1825</v>
      </c>
      <c r="M20" s="16" t="s">
        <v>87</v>
      </c>
    </row>
    <row r="22" spans="1:12" ht="15">
      <c r="A22" s="48" t="s">
        <v>52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3" ht="12.75">
      <c r="A23" s="13" t="s">
        <v>378</v>
      </c>
      <c r="B23" s="13" t="s">
        <v>379</v>
      </c>
      <c r="C23" s="13" t="s">
        <v>380</v>
      </c>
      <c r="D23" s="13" t="str">
        <f>"1,3133"</f>
        <v>1,3133</v>
      </c>
      <c r="E23" s="13" t="s">
        <v>84</v>
      </c>
      <c r="F23" s="13" t="s">
        <v>298</v>
      </c>
      <c r="G23" s="14" t="s">
        <v>269</v>
      </c>
      <c r="H23" s="15" t="s">
        <v>270</v>
      </c>
      <c r="I23" s="14" t="s">
        <v>270</v>
      </c>
      <c r="J23" s="15"/>
      <c r="K23" s="13" t="str">
        <f>"32,5"</f>
        <v>32,5</v>
      </c>
      <c r="L23" s="14" t="str">
        <f>"52,4992"</f>
        <v>52,4992</v>
      </c>
      <c r="M23" s="13" t="s">
        <v>381</v>
      </c>
    </row>
    <row r="24" spans="1:13" ht="12.75">
      <c r="A24" s="16" t="s">
        <v>383</v>
      </c>
      <c r="B24" s="16" t="s">
        <v>384</v>
      </c>
      <c r="C24" s="16" t="s">
        <v>385</v>
      </c>
      <c r="D24" s="16" t="str">
        <f>"1,1657"</f>
        <v>1,1657</v>
      </c>
      <c r="E24" s="16" t="s">
        <v>68</v>
      </c>
      <c r="F24" s="16" t="s">
        <v>58</v>
      </c>
      <c r="G24" s="18" t="s">
        <v>269</v>
      </c>
      <c r="H24" s="18" t="s">
        <v>270</v>
      </c>
      <c r="I24" s="17"/>
      <c r="J24" s="17"/>
      <c r="K24" s="16" t="str">
        <f>"32,5"</f>
        <v>32,5</v>
      </c>
      <c r="L24" s="18" t="str">
        <f>"46,5989"</f>
        <v>46,5989</v>
      </c>
      <c r="M24" s="16" t="s">
        <v>72</v>
      </c>
    </row>
    <row r="26" spans="1:12" ht="15">
      <c r="A26" s="48" t="s">
        <v>264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3" ht="12.75">
      <c r="A27" s="10" t="s">
        <v>387</v>
      </c>
      <c r="B27" s="10" t="s">
        <v>388</v>
      </c>
      <c r="C27" s="10" t="s">
        <v>368</v>
      </c>
      <c r="D27" s="10" t="str">
        <f>"0,8271"</f>
        <v>0,8271</v>
      </c>
      <c r="E27" s="10" t="s">
        <v>68</v>
      </c>
      <c r="F27" s="10" t="s">
        <v>58</v>
      </c>
      <c r="G27" s="11" t="s">
        <v>36</v>
      </c>
      <c r="H27" s="11" t="s">
        <v>352</v>
      </c>
      <c r="I27" s="11" t="s">
        <v>353</v>
      </c>
      <c r="J27" s="12"/>
      <c r="K27" s="10" t="str">
        <f>"52,5"</f>
        <v>52,5</v>
      </c>
      <c r="L27" s="11" t="str">
        <f>"53,4100"</f>
        <v>53,4100</v>
      </c>
      <c r="M27" s="10" t="s">
        <v>72</v>
      </c>
    </row>
    <row r="29" spans="1:12" ht="15">
      <c r="A29" s="48" t="s">
        <v>73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3" ht="12.75">
      <c r="A30" s="13" t="s">
        <v>390</v>
      </c>
      <c r="B30" s="13" t="s">
        <v>391</v>
      </c>
      <c r="C30" s="13" t="s">
        <v>280</v>
      </c>
      <c r="D30" s="13" t="str">
        <f>"0,7258"</f>
        <v>0,7258</v>
      </c>
      <c r="E30" s="13" t="s">
        <v>84</v>
      </c>
      <c r="F30" s="13" t="s">
        <v>298</v>
      </c>
      <c r="G30" s="14" t="s">
        <v>276</v>
      </c>
      <c r="H30" s="15" t="s">
        <v>48</v>
      </c>
      <c r="I30" s="15" t="s">
        <v>48</v>
      </c>
      <c r="J30" s="15"/>
      <c r="K30" s="13" t="str">
        <f>"60,0"</f>
        <v>60,0</v>
      </c>
      <c r="L30" s="14" t="str">
        <f>"53,5640"</f>
        <v>53,5640</v>
      </c>
      <c r="M30" s="13" t="s">
        <v>381</v>
      </c>
    </row>
    <row r="31" spans="1:13" ht="12.75">
      <c r="A31" s="19" t="s">
        <v>393</v>
      </c>
      <c r="B31" s="19" t="s">
        <v>394</v>
      </c>
      <c r="C31" s="19" t="s">
        <v>395</v>
      </c>
      <c r="D31" s="19" t="str">
        <f>"0,7706"</f>
        <v>0,7706</v>
      </c>
      <c r="E31" s="19" t="s">
        <v>84</v>
      </c>
      <c r="F31" s="19" t="s">
        <v>298</v>
      </c>
      <c r="G31" s="20" t="s">
        <v>276</v>
      </c>
      <c r="H31" s="20" t="s">
        <v>48</v>
      </c>
      <c r="I31" s="20" t="s">
        <v>49</v>
      </c>
      <c r="J31" s="21"/>
      <c r="K31" s="19" t="str">
        <f>"70,0"</f>
        <v>70,0</v>
      </c>
      <c r="L31" s="20" t="str">
        <f>"66,3487"</f>
        <v>66,3487</v>
      </c>
      <c r="M31" s="19" t="s">
        <v>381</v>
      </c>
    </row>
    <row r="32" spans="1:13" ht="12.75">
      <c r="A32" s="19" t="s">
        <v>397</v>
      </c>
      <c r="B32" s="19" t="s">
        <v>398</v>
      </c>
      <c r="C32" s="19" t="s">
        <v>399</v>
      </c>
      <c r="D32" s="19" t="str">
        <f>"0,7514"</f>
        <v>0,7514</v>
      </c>
      <c r="E32" s="19" t="s">
        <v>84</v>
      </c>
      <c r="F32" s="19" t="s">
        <v>298</v>
      </c>
      <c r="G32" s="20" t="s">
        <v>69</v>
      </c>
      <c r="H32" s="20" t="s">
        <v>117</v>
      </c>
      <c r="I32" s="21" t="s">
        <v>51</v>
      </c>
      <c r="J32" s="21"/>
      <c r="K32" s="19" t="str">
        <f>"115,0"</f>
        <v>115,0</v>
      </c>
      <c r="L32" s="20" t="str">
        <f>"86,4110"</f>
        <v>86,4110</v>
      </c>
      <c r="M32" s="19" t="s">
        <v>87</v>
      </c>
    </row>
    <row r="33" spans="1:13" ht="12.75">
      <c r="A33" s="16" t="s">
        <v>401</v>
      </c>
      <c r="B33" s="16" t="s">
        <v>402</v>
      </c>
      <c r="C33" s="16" t="s">
        <v>77</v>
      </c>
      <c r="D33" s="16" t="str">
        <f>"0,7408"</f>
        <v>0,7408</v>
      </c>
      <c r="E33" s="16" t="s">
        <v>84</v>
      </c>
      <c r="F33" s="16" t="s">
        <v>165</v>
      </c>
      <c r="G33" s="18" t="s">
        <v>69</v>
      </c>
      <c r="H33" s="18" t="s">
        <v>117</v>
      </c>
      <c r="I33" s="17" t="s">
        <v>148</v>
      </c>
      <c r="J33" s="17"/>
      <c r="K33" s="16" t="str">
        <f>"115,0"</f>
        <v>115,0</v>
      </c>
      <c r="L33" s="18" t="str">
        <f>"85,1920"</f>
        <v>85,1920</v>
      </c>
      <c r="M33" s="16" t="s">
        <v>87</v>
      </c>
    </row>
    <row r="35" spans="1:12" ht="15">
      <c r="A35" s="48" t="s">
        <v>40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3" ht="12.75">
      <c r="A36" s="13" t="s">
        <v>404</v>
      </c>
      <c r="B36" s="13" t="s">
        <v>405</v>
      </c>
      <c r="C36" s="13" t="s">
        <v>406</v>
      </c>
      <c r="D36" s="13" t="str">
        <f>"0,6989"</f>
        <v>0,6989</v>
      </c>
      <c r="E36" s="13" t="s">
        <v>84</v>
      </c>
      <c r="F36" s="13" t="s">
        <v>298</v>
      </c>
      <c r="G36" s="14" t="s">
        <v>49</v>
      </c>
      <c r="H36" s="14" t="s">
        <v>62</v>
      </c>
      <c r="I36" s="14" t="s">
        <v>106</v>
      </c>
      <c r="J36" s="15"/>
      <c r="K36" s="13" t="str">
        <f>"80,0"</f>
        <v>80,0</v>
      </c>
      <c r="L36" s="14" t="str">
        <f>"60,3850"</f>
        <v>60,3850</v>
      </c>
      <c r="M36" s="13" t="s">
        <v>381</v>
      </c>
    </row>
    <row r="37" spans="1:13" ht="12.75">
      <c r="A37" s="19" t="s">
        <v>408</v>
      </c>
      <c r="B37" s="19" t="s">
        <v>409</v>
      </c>
      <c r="C37" s="19" t="s">
        <v>91</v>
      </c>
      <c r="D37" s="19" t="str">
        <f>"0,6645"</f>
        <v>0,6645</v>
      </c>
      <c r="E37" s="19" t="s">
        <v>84</v>
      </c>
      <c r="F37" s="19" t="s">
        <v>410</v>
      </c>
      <c r="G37" s="20" t="s">
        <v>117</v>
      </c>
      <c r="H37" s="20" t="s">
        <v>51</v>
      </c>
      <c r="I37" s="20" t="s">
        <v>46</v>
      </c>
      <c r="J37" s="21"/>
      <c r="K37" s="19" t="str">
        <f>"130,0"</f>
        <v>130,0</v>
      </c>
      <c r="L37" s="20" t="str">
        <f>"89,8404"</f>
        <v>89,8404</v>
      </c>
      <c r="M37" s="19" t="s">
        <v>87</v>
      </c>
    </row>
    <row r="38" spans="1:13" ht="12.75">
      <c r="A38" s="19" t="s">
        <v>411</v>
      </c>
      <c r="B38" s="19" t="s">
        <v>111</v>
      </c>
      <c r="C38" s="19" t="s">
        <v>91</v>
      </c>
      <c r="D38" s="19" t="str">
        <f>"0,6645"</f>
        <v>0,6645</v>
      </c>
      <c r="E38" s="19" t="s">
        <v>84</v>
      </c>
      <c r="F38" s="19" t="s">
        <v>112</v>
      </c>
      <c r="G38" s="21" t="s">
        <v>69</v>
      </c>
      <c r="H38" s="20" t="s">
        <v>69</v>
      </c>
      <c r="I38" s="21" t="s">
        <v>113</v>
      </c>
      <c r="J38" s="21"/>
      <c r="K38" s="19" t="str">
        <f>"110,0"</f>
        <v>110,0</v>
      </c>
      <c r="L38" s="20" t="str">
        <f>"73,0950"</f>
        <v>73,0950</v>
      </c>
      <c r="M38" s="19" t="s">
        <v>87</v>
      </c>
    </row>
    <row r="39" spans="1:13" ht="12.75">
      <c r="A39" s="19" t="s">
        <v>413</v>
      </c>
      <c r="B39" s="19" t="s">
        <v>414</v>
      </c>
      <c r="C39" s="19" t="s">
        <v>44</v>
      </c>
      <c r="D39" s="19" t="str">
        <f>"0,6659"</f>
        <v>0,6659</v>
      </c>
      <c r="E39" s="19" t="s">
        <v>84</v>
      </c>
      <c r="F39" s="19" t="s">
        <v>410</v>
      </c>
      <c r="G39" s="20" t="s">
        <v>51</v>
      </c>
      <c r="H39" s="20" t="s">
        <v>46</v>
      </c>
      <c r="I39" s="21" t="s">
        <v>415</v>
      </c>
      <c r="J39" s="21"/>
      <c r="K39" s="19" t="str">
        <f>"130,0"</f>
        <v>130,0</v>
      </c>
      <c r="L39" s="20" t="str">
        <f>"86,5670"</f>
        <v>86,5670</v>
      </c>
      <c r="M39" s="19" t="s">
        <v>87</v>
      </c>
    </row>
    <row r="40" spans="1:13" ht="12.75">
      <c r="A40" s="19" t="s">
        <v>417</v>
      </c>
      <c r="B40" s="19" t="s">
        <v>418</v>
      </c>
      <c r="C40" s="19" t="s">
        <v>419</v>
      </c>
      <c r="D40" s="19" t="str">
        <f>"0,6694"</f>
        <v>0,6694</v>
      </c>
      <c r="E40" s="19" t="s">
        <v>84</v>
      </c>
      <c r="F40" s="19" t="s">
        <v>298</v>
      </c>
      <c r="G40" s="20" t="s">
        <v>37</v>
      </c>
      <c r="H40" s="20" t="s">
        <v>123</v>
      </c>
      <c r="I40" s="20" t="s">
        <v>420</v>
      </c>
      <c r="J40" s="21"/>
      <c r="K40" s="19" t="str">
        <f>"102,5"</f>
        <v>102,5</v>
      </c>
      <c r="L40" s="20" t="str">
        <f>"68,6135"</f>
        <v>68,6135</v>
      </c>
      <c r="M40" s="19" t="s">
        <v>381</v>
      </c>
    </row>
    <row r="41" spans="1:13" ht="12.75">
      <c r="A41" s="16" t="s">
        <v>413</v>
      </c>
      <c r="B41" s="16" t="s">
        <v>421</v>
      </c>
      <c r="C41" s="16" t="s">
        <v>44</v>
      </c>
      <c r="D41" s="16" t="str">
        <f>"0,6659"</f>
        <v>0,6659</v>
      </c>
      <c r="E41" s="16" t="s">
        <v>84</v>
      </c>
      <c r="F41" s="16" t="s">
        <v>410</v>
      </c>
      <c r="G41" s="18" t="s">
        <v>51</v>
      </c>
      <c r="H41" s="18" t="s">
        <v>46</v>
      </c>
      <c r="I41" s="17" t="s">
        <v>415</v>
      </c>
      <c r="J41" s="17"/>
      <c r="K41" s="16" t="str">
        <f>"130,0"</f>
        <v>130,0</v>
      </c>
      <c r="L41" s="18" t="str">
        <f>"88,1252"</f>
        <v>88,1252</v>
      </c>
      <c r="M41" s="16" t="s">
        <v>87</v>
      </c>
    </row>
    <row r="43" spans="1:12" ht="15">
      <c r="A43" s="48" t="s">
        <v>118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3" ht="12.75">
      <c r="A44" s="13" t="s">
        <v>423</v>
      </c>
      <c r="B44" s="13" t="s">
        <v>424</v>
      </c>
      <c r="C44" s="13" t="s">
        <v>122</v>
      </c>
      <c r="D44" s="13" t="str">
        <f>"0,6193"</f>
        <v>0,6193</v>
      </c>
      <c r="E44" s="13" t="s">
        <v>84</v>
      </c>
      <c r="F44" s="13" t="s">
        <v>85</v>
      </c>
      <c r="G44" s="14" t="s">
        <v>69</v>
      </c>
      <c r="H44" s="14" t="s">
        <v>46</v>
      </c>
      <c r="I44" s="14" t="s">
        <v>93</v>
      </c>
      <c r="J44" s="15"/>
      <c r="K44" s="13" t="str">
        <f>"140,0"</f>
        <v>140,0</v>
      </c>
      <c r="L44" s="14" t="str">
        <f>"88,4360"</f>
        <v>88,4360</v>
      </c>
      <c r="M44" s="13" t="s">
        <v>87</v>
      </c>
    </row>
    <row r="45" spans="1:13" ht="12.75">
      <c r="A45" s="16" t="s">
        <v>426</v>
      </c>
      <c r="B45" s="16" t="s">
        <v>427</v>
      </c>
      <c r="C45" s="16" t="s">
        <v>428</v>
      </c>
      <c r="D45" s="16" t="str">
        <f>"0,6479"</f>
        <v>0,6479</v>
      </c>
      <c r="E45" s="16" t="s">
        <v>84</v>
      </c>
      <c r="F45" s="16" t="s">
        <v>58</v>
      </c>
      <c r="G45" s="18" t="s">
        <v>51</v>
      </c>
      <c r="H45" s="17" t="s">
        <v>46</v>
      </c>
      <c r="I45" s="17" t="s">
        <v>46</v>
      </c>
      <c r="J45" s="17"/>
      <c r="K45" s="16" t="str">
        <f>"120,0"</f>
        <v>120,0</v>
      </c>
      <c r="L45" s="18" t="str">
        <f>"77,7480"</f>
        <v>77,7480</v>
      </c>
      <c r="M45" s="16" t="s">
        <v>87</v>
      </c>
    </row>
    <row r="47" spans="1:12" ht="15">
      <c r="A47" s="48" t="s">
        <v>140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3" ht="12.75">
      <c r="A48" s="13" t="s">
        <v>430</v>
      </c>
      <c r="B48" s="13" t="s">
        <v>431</v>
      </c>
      <c r="C48" s="13" t="s">
        <v>432</v>
      </c>
      <c r="D48" s="13" t="str">
        <f>"0,5986"</f>
        <v>0,5986</v>
      </c>
      <c r="E48" s="13" t="s">
        <v>84</v>
      </c>
      <c r="F48" s="13" t="s">
        <v>410</v>
      </c>
      <c r="G48" s="14" t="s">
        <v>46</v>
      </c>
      <c r="H48" s="15" t="s">
        <v>47</v>
      </c>
      <c r="I48" s="15" t="s">
        <v>47</v>
      </c>
      <c r="J48" s="15"/>
      <c r="K48" s="13" t="str">
        <f>"130,0"</f>
        <v>130,0</v>
      </c>
      <c r="L48" s="14" t="str">
        <f>"80,1525"</f>
        <v>80,1525</v>
      </c>
      <c r="M48" s="13" t="s">
        <v>87</v>
      </c>
    </row>
    <row r="49" spans="1:13" ht="12.75">
      <c r="A49" s="19" t="s">
        <v>434</v>
      </c>
      <c r="B49" s="19" t="s">
        <v>435</v>
      </c>
      <c r="C49" s="19" t="s">
        <v>436</v>
      </c>
      <c r="D49" s="19" t="str">
        <f>"0,5943"</f>
        <v>0,5943</v>
      </c>
      <c r="E49" s="19" t="s">
        <v>84</v>
      </c>
      <c r="F49" s="19" t="s">
        <v>298</v>
      </c>
      <c r="G49" s="20" t="s">
        <v>93</v>
      </c>
      <c r="H49" s="20" t="s">
        <v>160</v>
      </c>
      <c r="I49" s="21" t="s">
        <v>146</v>
      </c>
      <c r="J49" s="21"/>
      <c r="K49" s="19" t="str">
        <f>"142,5"</f>
        <v>142,5</v>
      </c>
      <c r="L49" s="20" t="str">
        <f>"84,6877"</f>
        <v>84,6877</v>
      </c>
      <c r="M49" s="19" t="s">
        <v>87</v>
      </c>
    </row>
    <row r="50" spans="1:13" ht="12.75">
      <c r="A50" s="19" t="s">
        <v>438</v>
      </c>
      <c r="B50" s="19" t="s">
        <v>439</v>
      </c>
      <c r="C50" s="19" t="s">
        <v>440</v>
      </c>
      <c r="D50" s="19" t="str">
        <f>"0,5935"</f>
        <v>0,5935</v>
      </c>
      <c r="E50" s="19" t="s">
        <v>84</v>
      </c>
      <c r="F50" s="19" t="s">
        <v>441</v>
      </c>
      <c r="G50" s="21" t="s">
        <v>46</v>
      </c>
      <c r="H50" s="20" t="s">
        <v>179</v>
      </c>
      <c r="I50" s="20" t="s">
        <v>47</v>
      </c>
      <c r="J50" s="21"/>
      <c r="K50" s="19" t="str">
        <f>"135,0"</f>
        <v>135,0</v>
      </c>
      <c r="L50" s="20" t="str">
        <f>"80,1225"</f>
        <v>80,1225</v>
      </c>
      <c r="M50" s="19" t="s">
        <v>87</v>
      </c>
    </row>
    <row r="51" spans="1:13" ht="12.75">
      <c r="A51" s="19" t="s">
        <v>443</v>
      </c>
      <c r="B51" s="19" t="s">
        <v>444</v>
      </c>
      <c r="C51" s="19" t="s">
        <v>440</v>
      </c>
      <c r="D51" s="19" t="str">
        <f>"0,5935"</f>
        <v>0,5935</v>
      </c>
      <c r="E51" s="19" t="s">
        <v>68</v>
      </c>
      <c r="F51" s="19" t="s">
        <v>58</v>
      </c>
      <c r="G51" s="20" t="s">
        <v>148</v>
      </c>
      <c r="H51" s="20" t="s">
        <v>445</v>
      </c>
      <c r="I51" s="20" t="s">
        <v>179</v>
      </c>
      <c r="J51" s="21"/>
      <c r="K51" s="19" t="str">
        <f>"132,5"</f>
        <v>132,5</v>
      </c>
      <c r="L51" s="20" t="str">
        <f>"78,6388"</f>
        <v>78,6388</v>
      </c>
      <c r="M51" s="19" t="s">
        <v>87</v>
      </c>
    </row>
    <row r="52" spans="1:13" ht="12.75">
      <c r="A52" s="16" t="s">
        <v>742</v>
      </c>
      <c r="B52" s="16" t="s">
        <v>447</v>
      </c>
      <c r="C52" s="16" t="s">
        <v>440</v>
      </c>
      <c r="D52" s="16" t="str">
        <f>"0,5935"</f>
        <v>0,5935</v>
      </c>
      <c r="E52" s="16" t="s">
        <v>68</v>
      </c>
      <c r="F52" s="16" t="s">
        <v>58</v>
      </c>
      <c r="G52" s="18" t="s">
        <v>69</v>
      </c>
      <c r="H52" s="18" t="s">
        <v>117</v>
      </c>
      <c r="I52" s="17" t="s">
        <v>51</v>
      </c>
      <c r="J52" s="17"/>
      <c r="K52" s="16" t="str">
        <f>"115,0"</f>
        <v>115,0</v>
      </c>
      <c r="L52" s="18" t="str">
        <f>"68,2525"</f>
        <v>68,2525</v>
      </c>
      <c r="M52" s="16" t="s">
        <v>72</v>
      </c>
    </row>
    <row r="54" spans="1:12" ht="15">
      <c r="A54" s="48" t="s">
        <v>167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3" ht="12.75">
      <c r="A55" s="13" t="s">
        <v>449</v>
      </c>
      <c r="B55" s="13" t="s">
        <v>450</v>
      </c>
      <c r="C55" s="13" t="s">
        <v>451</v>
      </c>
      <c r="D55" s="13" t="str">
        <f>"0,5545"</f>
        <v>0,5545</v>
      </c>
      <c r="E55" s="13" t="s">
        <v>84</v>
      </c>
      <c r="F55" s="13" t="s">
        <v>58</v>
      </c>
      <c r="G55" s="14" t="s">
        <v>172</v>
      </c>
      <c r="H55" s="14" t="s">
        <v>136</v>
      </c>
      <c r="I55" s="14" t="s">
        <v>203</v>
      </c>
      <c r="J55" s="15"/>
      <c r="K55" s="13" t="str">
        <f>"175,0"</f>
        <v>175,0</v>
      </c>
      <c r="L55" s="14" t="str">
        <f>"97,0375"</f>
        <v>97,0375</v>
      </c>
      <c r="M55" s="13" t="s">
        <v>87</v>
      </c>
    </row>
    <row r="56" spans="1:13" ht="12.75">
      <c r="A56" s="19" t="s">
        <v>453</v>
      </c>
      <c r="B56" s="19" t="s">
        <v>454</v>
      </c>
      <c r="C56" s="19" t="s">
        <v>451</v>
      </c>
      <c r="D56" s="19" t="str">
        <f>"0,5545"</f>
        <v>0,5545</v>
      </c>
      <c r="E56" s="19" t="s">
        <v>84</v>
      </c>
      <c r="F56" s="19" t="s">
        <v>58</v>
      </c>
      <c r="G56" s="20" t="s">
        <v>136</v>
      </c>
      <c r="H56" s="20" t="s">
        <v>86</v>
      </c>
      <c r="I56" s="21" t="s">
        <v>130</v>
      </c>
      <c r="J56" s="21"/>
      <c r="K56" s="19" t="str">
        <f>"170,0"</f>
        <v>170,0</v>
      </c>
      <c r="L56" s="20" t="str">
        <f>"94,2650"</f>
        <v>94,2650</v>
      </c>
      <c r="M56" s="19" t="s">
        <v>455</v>
      </c>
    </row>
    <row r="57" spans="1:13" ht="12.75">
      <c r="A57" s="19" t="s">
        <v>457</v>
      </c>
      <c r="B57" s="19" t="s">
        <v>458</v>
      </c>
      <c r="C57" s="19" t="s">
        <v>459</v>
      </c>
      <c r="D57" s="19" t="str">
        <f>"0,5540"</f>
        <v>0,5540</v>
      </c>
      <c r="E57" s="19" t="s">
        <v>84</v>
      </c>
      <c r="F57" s="19" t="s">
        <v>58</v>
      </c>
      <c r="G57" s="20" t="s">
        <v>172</v>
      </c>
      <c r="H57" s="20" t="s">
        <v>136</v>
      </c>
      <c r="I57" s="20" t="s">
        <v>460</v>
      </c>
      <c r="J57" s="21"/>
      <c r="K57" s="19" t="str">
        <f>"167,5"</f>
        <v>167,5</v>
      </c>
      <c r="L57" s="20" t="str">
        <f>"92,7950"</f>
        <v>92,7950</v>
      </c>
      <c r="M57" s="19" t="s">
        <v>87</v>
      </c>
    </row>
    <row r="58" spans="1:13" ht="12.75">
      <c r="A58" s="19" t="s">
        <v>462</v>
      </c>
      <c r="B58" s="19" t="s">
        <v>463</v>
      </c>
      <c r="C58" s="19" t="s">
        <v>464</v>
      </c>
      <c r="D58" s="19" t="str">
        <f>"0,5581"</f>
        <v>0,5581</v>
      </c>
      <c r="E58" s="19" t="s">
        <v>84</v>
      </c>
      <c r="F58" s="19" t="s">
        <v>58</v>
      </c>
      <c r="G58" s="20" t="s">
        <v>70</v>
      </c>
      <c r="H58" s="21" t="s">
        <v>71</v>
      </c>
      <c r="I58" s="20" t="s">
        <v>71</v>
      </c>
      <c r="J58" s="21"/>
      <c r="K58" s="19" t="str">
        <f>"160,0"</f>
        <v>160,0</v>
      </c>
      <c r="L58" s="20" t="str">
        <f>"89,2960"</f>
        <v>89,2960</v>
      </c>
      <c r="M58" s="19" t="s">
        <v>139</v>
      </c>
    </row>
    <row r="59" spans="1:13" ht="12.75">
      <c r="A59" s="19" t="s">
        <v>466</v>
      </c>
      <c r="B59" s="19" t="s">
        <v>467</v>
      </c>
      <c r="C59" s="19" t="s">
        <v>468</v>
      </c>
      <c r="D59" s="19" t="str">
        <f>"0,5804"</f>
        <v>0,5804</v>
      </c>
      <c r="E59" s="19" t="s">
        <v>84</v>
      </c>
      <c r="F59" s="19" t="s">
        <v>410</v>
      </c>
      <c r="G59" s="20" t="s">
        <v>93</v>
      </c>
      <c r="H59" s="20" t="s">
        <v>146</v>
      </c>
      <c r="I59" s="20" t="s">
        <v>70</v>
      </c>
      <c r="J59" s="21"/>
      <c r="K59" s="19" t="str">
        <f>"150,0"</f>
        <v>150,0</v>
      </c>
      <c r="L59" s="20" t="str">
        <f>"87,0600"</f>
        <v>87,0600</v>
      </c>
      <c r="M59" s="19" t="s">
        <v>87</v>
      </c>
    </row>
    <row r="60" spans="1:13" ht="12.75">
      <c r="A60" s="19" t="s">
        <v>470</v>
      </c>
      <c r="B60" s="19" t="s">
        <v>471</v>
      </c>
      <c r="C60" s="19" t="s">
        <v>472</v>
      </c>
      <c r="D60" s="19" t="str">
        <f>"0,5560"</f>
        <v>0,5560</v>
      </c>
      <c r="E60" s="19" t="s">
        <v>84</v>
      </c>
      <c r="F60" s="19" t="s">
        <v>58</v>
      </c>
      <c r="G60" s="20" t="s">
        <v>47</v>
      </c>
      <c r="H60" s="20" t="s">
        <v>160</v>
      </c>
      <c r="I60" s="21" t="s">
        <v>70</v>
      </c>
      <c r="J60" s="21"/>
      <c r="K60" s="19" t="str">
        <f>"142,5"</f>
        <v>142,5</v>
      </c>
      <c r="L60" s="20" t="str">
        <f>"79,2300"</f>
        <v>79,2300</v>
      </c>
      <c r="M60" s="19" t="s">
        <v>139</v>
      </c>
    </row>
    <row r="61" spans="1:13" ht="12.75">
      <c r="A61" s="19" t="s">
        <v>474</v>
      </c>
      <c r="B61" s="19" t="s">
        <v>475</v>
      </c>
      <c r="C61" s="19" t="s">
        <v>459</v>
      </c>
      <c r="D61" s="19" t="str">
        <f>"0,5540"</f>
        <v>0,5540</v>
      </c>
      <c r="E61" s="19" t="s">
        <v>68</v>
      </c>
      <c r="F61" s="19" t="s">
        <v>58</v>
      </c>
      <c r="G61" s="21" t="s">
        <v>46</v>
      </c>
      <c r="H61" s="20" t="s">
        <v>46</v>
      </c>
      <c r="I61" s="21" t="s">
        <v>47</v>
      </c>
      <c r="J61" s="21"/>
      <c r="K61" s="19" t="str">
        <f>"130,0"</f>
        <v>130,0</v>
      </c>
      <c r="L61" s="20" t="str">
        <f>"72,0200"</f>
        <v>72,0200</v>
      </c>
      <c r="M61" s="19" t="s">
        <v>72</v>
      </c>
    </row>
    <row r="62" spans="1:13" ht="12.75">
      <c r="A62" s="16" t="s">
        <v>477</v>
      </c>
      <c r="B62" s="16" t="s">
        <v>478</v>
      </c>
      <c r="C62" s="16" t="s">
        <v>472</v>
      </c>
      <c r="D62" s="16" t="str">
        <f>"0,5560"</f>
        <v>0,5560</v>
      </c>
      <c r="E62" s="16" t="s">
        <v>84</v>
      </c>
      <c r="F62" s="16" t="s">
        <v>165</v>
      </c>
      <c r="G62" s="18" t="s">
        <v>445</v>
      </c>
      <c r="H62" s="18" t="s">
        <v>179</v>
      </c>
      <c r="I62" s="18" t="s">
        <v>47</v>
      </c>
      <c r="J62" s="17"/>
      <c r="K62" s="16" t="str">
        <f>"135,0"</f>
        <v>135,0</v>
      </c>
      <c r="L62" s="18" t="str">
        <f>"76,4111"</f>
        <v>76,4111</v>
      </c>
      <c r="M62" s="16" t="s">
        <v>87</v>
      </c>
    </row>
    <row r="64" spans="1:12" ht="15">
      <c r="A64" s="48" t="s">
        <v>182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1:13" ht="12.75">
      <c r="A65" s="13" t="s">
        <v>480</v>
      </c>
      <c r="B65" s="13" t="s">
        <v>481</v>
      </c>
      <c r="C65" s="13" t="s">
        <v>482</v>
      </c>
      <c r="D65" s="13" t="str">
        <f>"0,5371"</f>
        <v>0,5371</v>
      </c>
      <c r="E65" s="13" t="s">
        <v>84</v>
      </c>
      <c r="F65" s="13" t="s">
        <v>145</v>
      </c>
      <c r="G65" s="14" t="s">
        <v>130</v>
      </c>
      <c r="H65" s="14" t="s">
        <v>96</v>
      </c>
      <c r="I65" s="14" t="s">
        <v>107</v>
      </c>
      <c r="J65" s="15"/>
      <c r="K65" s="13" t="str">
        <f>"185,0"</f>
        <v>185,0</v>
      </c>
      <c r="L65" s="14" t="str">
        <f>"99,3635"</f>
        <v>99,3635</v>
      </c>
      <c r="M65" s="13" t="s">
        <v>87</v>
      </c>
    </row>
    <row r="66" spans="1:13" ht="12.75">
      <c r="A66" s="16" t="s">
        <v>484</v>
      </c>
      <c r="B66" s="16" t="s">
        <v>485</v>
      </c>
      <c r="C66" s="16" t="s">
        <v>486</v>
      </c>
      <c r="D66" s="16" t="str">
        <f>"0,5377"</f>
        <v>0,5377</v>
      </c>
      <c r="E66" s="16" t="s">
        <v>84</v>
      </c>
      <c r="F66" s="16" t="s">
        <v>298</v>
      </c>
      <c r="G66" s="18" t="s">
        <v>93</v>
      </c>
      <c r="H66" s="18" t="s">
        <v>304</v>
      </c>
      <c r="I66" s="17" t="s">
        <v>147</v>
      </c>
      <c r="J66" s="17"/>
      <c r="K66" s="16" t="str">
        <f>"147,5"</f>
        <v>147,5</v>
      </c>
      <c r="L66" s="18" t="str">
        <f>"79,3107"</f>
        <v>79,3107</v>
      </c>
      <c r="M66" s="16" t="s">
        <v>87</v>
      </c>
    </row>
    <row r="68" spans="1:12" ht="15">
      <c r="A68" s="48" t="s">
        <v>193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</row>
    <row r="69" spans="1:13" ht="12.75">
      <c r="A69" s="10" t="s">
        <v>487</v>
      </c>
      <c r="B69" s="10" t="s">
        <v>201</v>
      </c>
      <c r="C69" s="10" t="s">
        <v>488</v>
      </c>
      <c r="D69" s="10" t="str">
        <f>"0,5332"</f>
        <v>0,5332</v>
      </c>
      <c r="E69" s="10" t="s">
        <v>68</v>
      </c>
      <c r="F69" s="10" t="s">
        <v>58</v>
      </c>
      <c r="G69" s="11" t="s">
        <v>71</v>
      </c>
      <c r="H69" s="11" t="s">
        <v>86</v>
      </c>
      <c r="I69" s="12" t="s">
        <v>203</v>
      </c>
      <c r="J69" s="12"/>
      <c r="K69" s="10" t="str">
        <f>"170,0"</f>
        <v>170,0</v>
      </c>
      <c r="L69" s="11" t="str">
        <f>"90,6440"</f>
        <v>90,6440</v>
      </c>
      <c r="M69" s="10" t="s">
        <v>87</v>
      </c>
    </row>
    <row r="71" ht="15">
      <c r="E71" s="8" t="s">
        <v>13</v>
      </c>
    </row>
    <row r="72" ht="15">
      <c r="E72" s="8" t="s">
        <v>14</v>
      </c>
    </row>
    <row r="73" ht="15">
      <c r="E73" s="8" t="s">
        <v>15</v>
      </c>
    </row>
    <row r="74" ht="15">
      <c r="E74" s="8" t="s">
        <v>16</v>
      </c>
    </row>
    <row r="75" ht="15">
      <c r="E75" s="8" t="s">
        <v>16</v>
      </c>
    </row>
    <row r="76" ht="15">
      <c r="E76" s="8" t="s">
        <v>17</v>
      </c>
    </row>
    <row r="77" ht="15">
      <c r="E77" s="8"/>
    </row>
    <row r="79" spans="1:2" ht="18">
      <c r="A79" s="9" t="s">
        <v>18</v>
      </c>
      <c r="B79" s="9"/>
    </row>
    <row r="80" spans="1:2" ht="15">
      <c r="A80" s="22" t="s">
        <v>204</v>
      </c>
      <c r="B80" s="22"/>
    </row>
    <row r="81" spans="1:2" ht="14.25">
      <c r="A81" s="24"/>
      <c r="B81" s="25" t="s">
        <v>489</v>
      </c>
    </row>
    <row r="82" spans="1:5" ht="15">
      <c r="A82" s="26" t="s">
        <v>206</v>
      </c>
      <c r="B82" s="26" t="s">
        <v>207</v>
      </c>
      <c r="C82" s="26" t="s">
        <v>208</v>
      </c>
      <c r="D82" s="26" t="s">
        <v>209</v>
      </c>
      <c r="E82" s="26" t="s">
        <v>210</v>
      </c>
    </row>
    <row r="83" spans="1:5" ht="12.75">
      <c r="A83" s="23" t="s">
        <v>343</v>
      </c>
      <c r="B83" s="4" t="s">
        <v>230</v>
      </c>
      <c r="C83" s="4" t="s">
        <v>490</v>
      </c>
      <c r="D83" s="4" t="s">
        <v>270</v>
      </c>
      <c r="E83" s="27" t="s">
        <v>491</v>
      </c>
    </row>
    <row r="85" spans="1:2" ht="14.25">
      <c r="A85" s="24"/>
      <c r="B85" s="25" t="s">
        <v>205</v>
      </c>
    </row>
    <row r="86" spans="1:5" ht="15">
      <c r="A86" s="26" t="s">
        <v>206</v>
      </c>
      <c r="B86" s="26" t="s">
        <v>207</v>
      </c>
      <c r="C86" s="26" t="s">
        <v>208</v>
      </c>
      <c r="D86" s="26" t="s">
        <v>209</v>
      </c>
      <c r="E86" s="26" t="s">
        <v>210</v>
      </c>
    </row>
    <row r="87" spans="1:5" ht="12.75">
      <c r="A87" s="23" t="s">
        <v>347</v>
      </c>
      <c r="B87" s="4" t="s">
        <v>205</v>
      </c>
      <c r="C87" s="4" t="s">
        <v>231</v>
      </c>
      <c r="D87" s="4" t="s">
        <v>353</v>
      </c>
      <c r="E87" s="27" t="s">
        <v>492</v>
      </c>
    </row>
    <row r="88" spans="1:5" ht="12.75">
      <c r="A88" s="23" t="s">
        <v>369</v>
      </c>
      <c r="B88" s="4" t="s">
        <v>205</v>
      </c>
      <c r="C88" s="4" t="s">
        <v>239</v>
      </c>
      <c r="D88" s="4" t="s">
        <v>276</v>
      </c>
      <c r="E88" s="27" t="s">
        <v>493</v>
      </c>
    </row>
    <row r="89" spans="1:5" ht="12.75">
      <c r="A89" s="23" t="s">
        <v>354</v>
      </c>
      <c r="B89" s="4" t="s">
        <v>205</v>
      </c>
      <c r="C89" s="4" t="s">
        <v>213</v>
      </c>
      <c r="D89" s="4" t="s">
        <v>359</v>
      </c>
      <c r="E89" s="27" t="s">
        <v>494</v>
      </c>
    </row>
    <row r="90" spans="1:5" ht="12.75">
      <c r="A90" s="23" t="s">
        <v>360</v>
      </c>
      <c r="B90" s="4" t="s">
        <v>205</v>
      </c>
      <c r="C90" s="4" t="s">
        <v>276</v>
      </c>
      <c r="D90" s="4" t="s">
        <v>359</v>
      </c>
      <c r="E90" s="27" t="s">
        <v>495</v>
      </c>
    </row>
    <row r="91" spans="1:5" ht="12.75">
      <c r="A91" s="23" t="s">
        <v>365</v>
      </c>
      <c r="B91" s="4" t="s">
        <v>205</v>
      </c>
      <c r="C91" s="4" t="s">
        <v>276</v>
      </c>
      <c r="D91" s="4" t="s">
        <v>35</v>
      </c>
      <c r="E91" s="27" t="s">
        <v>496</v>
      </c>
    </row>
    <row r="93" spans="1:2" ht="14.25">
      <c r="A93" s="24"/>
      <c r="B93" s="25" t="s">
        <v>259</v>
      </c>
    </row>
    <row r="94" spans="1:5" ht="15">
      <c r="A94" s="26" t="s">
        <v>206</v>
      </c>
      <c r="B94" s="26" t="s">
        <v>207</v>
      </c>
      <c r="C94" s="26" t="s">
        <v>208</v>
      </c>
      <c r="D94" s="26" t="s">
        <v>209</v>
      </c>
      <c r="E94" s="26" t="s">
        <v>210</v>
      </c>
    </row>
    <row r="95" spans="1:5" ht="12.75">
      <c r="A95" s="23" t="s">
        <v>373</v>
      </c>
      <c r="B95" s="4" t="s">
        <v>497</v>
      </c>
      <c r="C95" s="4" t="s">
        <v>239</v>
      </c>
      <c r="D95" s="4" t="s">
        <v>59</v>
      </c>
      <c r="E95" s="27" t="s">
        <v>498</v>
      </c>
    </row>
    <row r="98" spans="1:2" ht="15">
      <c r="A98" s="22" t="s">
        <v>216</v>
      </c>
      <c r="B98" s="22"/>
    </row>
    <row r="99" spans="1:2" ht="14.25">
      <c r="A99" s="24"/>
      <c r="B99" s="25" t="s">
        <v>217</v>
      </c>
    </row>
    <row r="100" spans="1:5" ht="15">
      <c r="A100" s="26" t="s">
        <v>206</v>
      </c>
      <c r="B100" s="26" t="s">
        <v>207</v>
      </c>
      <c r="C100" s="26" t="s">
        <v>208</v>
      </c>
      <c r="D100" s="26" t="s">
        <v>209</v>
      </c>
      <c r="E100" s="26" t="s">
        <v>210</v>
      </c>
    </row>
    <row r="101" spans="1:5" ht="12.75">
      <c r="A101" s="23" t="s">
        <v>407</v>
      </c>
      <c r="B101" s="4" t="s">
        <v>227</v>
      </c>
      <c r="C101" s="4" t="s">
        <v>62</v>
      </c>
      <c r="D101" s="4" t="s">
        <v>46</v>
      </c>
      <c r="E101" s="27" t="s">
        <v>499</v>
      </c>
    </row>
    <row r="102" spans="1:5" ht="12.75">
      <c r="A102" s="23" t="s">
        <v>392</v>
      </c>
      <c r="B102" s="4" t="s">
        <v>500</v>
      </c>
      <c r="C102" s="4" t="s">
        <v>239</v>
      </c>
      <c r="D102" s="4" t="s">
        <v>49</v>
      </c>
      <c r="E102" s="27" t="s">
        <v>501</v>
      </c>
    </row>
    <row r="103" spans="1:5" ht="12.75">
      <c r="A103" s="23" t="s">
        <v>403</v>
      </c>
      <c r="B103" s="4" t="s">
        <v>218</v>
      </c>
      <c r="C103" s="4" t="s">
        <v>62</v>
      </c>
      <c r="D103" s="4" t="s">
        <v>106</v>
      </c>
      <c r="E103" s="27" t="s">
        <v>502</v>
      </c>
    </row>
    <row r="104" spans="1:5" ht="12.75">
      <c r="A104" s="23" t="s">
        <v>389</v>
      </c>
      <c r="B104" s="4" t="s">
        <v>230</v>
      </c>
      <c r="C104" s="4" t="s">
        <v>239</v>
      </c>
      <c r="D104" s="4" t="s">
        <v>276</v>
      </c>
      <c r="E104" s="27" t="s">
        <v>503</v>
      </c>
    </row>
    <row r="105" spans="1:5" ht="12.75">
      <c r="A105" s="23" t="s">
        <v>386</v>
      </c>
      <c r="B105" s="4" t="s">
        <v>500</v>
      </c>
      <c r="C105" s="4" t="s">
        <v>276</v>
      </c>
      <c r="D105" s="4" t="s">
        <v>353</v>
      </c>
      <c r="E105" s="27" t="s">
        <v>504</v>
      </c>
    </row>
    <row r="106" spans="1:5" ht="12.75">
      <c r="A106" s="23" t="s">
        <v>377</v>
      </c>
      <c r="B106" s="4" t="s">
        <v>230</v>
      </c>
      <c r="C106" s="4" t="s">
        <v>231</v>
      </c>
      <c r="D106" s="4" t="s">
        <v>270</v>
      </c>
      <c r="E106" s="27" t="s">
        <v>505</v>
      </c>
    </row>
    <row r="107" spans="1:5" ht="12.75">
      <c r="A107" s="23" t="s">
        <v>382</v>
      </c>
      <c r="B107" s="4" t="s">
        <v>230</v>
      </c>
      <c r="C107" s="4" t="s">
        <v>231</v>
      </c>
      <c r="D107" s="4" t="s">
        <v>270</v>
      </c>
      <c r="E107" s="27" t="s">
        <v>506</v>
      </c>
    </row>
    <row r="109" spans="1:2" ht="14.25">
      <c r="A109" s="24"/>
      <c r="B109" s="25" t="s">
        <v>233</v>
      </c>
    </row>
    <row r="110" spans="1:5" ht="15">
      <c r="A110" s="26" t="s">
        <v>206</v>
      </c>
      <c r="B110" s="26" t="s">
        <v>207</v>
      </c>
      <c r="C110" s="26" t="s">
        <v>208</v>
      </c>
      <c r="D110" s="26" t="s">
        <v>209</v>
      </c>
      <c r="E110" s="26" t="s">
        <v>210</v>
      </c>
    </row>
    <row r="111" spans="1:5" ht="12.75">
      <c r="A111" s="23" t="s">
        <v>422</v>
      </c>
      <c r="B111" s="4" t="s">
        <v>234</v>
      </c>
      <c r="C111" s="4" t="s">
        <v>79</v>
      </c>
      <c r="D111" s="4" t="s">
        <v>93</v>
      </c>
      <c r="E111" s="27" t="s">
        <v>507</v>
      </c>
    </row>
    <row r="112" spans="1:5" ht="12.75">
      <c r="A112" s="23" t="s">
        <v>429</v>
      </c>
      <c r="B112" s="4" t="s">
        <v>234</v>
      </c>
      <c r="C112" s="4" t="s">
        <v>37</v>
      </c>
      <c r="D112" s="4" t="s">
        <v>46</v>
      </c>
      <c r="E112" s="27" t="s">
        <v>508</v>
      </c>
    </row>
    <row r="113" spans="1:5" ht="12.75">
      <c r="A113" s="23" t="s">
        <v>109</v>
      </c>
      <c r="B113" s="4" t="s">
        <v>234</v>
      </c>
      <c r="C113" s="4" t="s">
        <v>62</v>
      </c>
      <c r="D113" s="4" t="s">
        <v>69</v>
      </c>
      <c r="E113" s="27" t="s">
        <v>509</v>
      </c>
    </row>
    <row r="115" spans="1:2" ht="14.25">
      <c r="A115" s="24"/>
      <c r="B115" s="25" t="s">
        <v>205</v>
      </c>
    </row>
    <row r="116" spans="1:5" ht="15">
      <c r="A116" s="26" t="s">
        <v>206</v>
      </c>
      <c r="B116" s="26" t="s">
        <v>207</v>
      </c>
      <c r="C116" s="26" t="s">
        <v>208</v>
      </c>
      <c r="D116" s="26" t="s">
        <v>209</v>
      </c>
      <c r="E116" s="26" t="s">
        <v>210</v>
      </c>
    </row>
    <row r="117" spans="1:5" ht="12.75">
      <c r="A117" s="23" t="s">
        <v>479</v>
      </c>
      <c r="B117" s="4" t="s">
        <v>205</v>
      </c>
      <c r="C117" s="4" t="s">
        <v>69</v>
      </c>
      <c r="D117" s="4" t="s">
        <v>107</v>
      </c>
      <c r="E117" s="27" t="s">
        <v>510</v>
      </c>
    </row>
    <row r="118" spans="1:5" ht="12.75">
      <c r="A118" s="23" t="s">
        <v>448</v>
      </c>
      <c r="B118" s="4" t="s">
        <v>205</v>
      </c>
      <c r="C118" s="4" t="s">
        <v>33</v>
      </c>
      <c r="D118" s="4" t="s">
        <v>203</v>
      </c>
      <c r="E118" s="27" t="s">
        <v>511</v>
      </c>
    </row>
    <row r="119" spans="1:5" ht="12.75">
      <c r="A119" s="23" t="s">
        <v>452</v>
      </c>
      <c r="B119" s="4" t="s">
        <v>205</v>
      </c>
      <c r="C119" s="4" t="s">
        <v>33</v>
      </c>
      <c r="D119" s="4" t="s">
        <v>86</v>
      </c>
      <c r="E119" s="27" t="s">
        <v>512</v>
      </c>
    </row>
    <row r="120" spans="1:5" ht="12.75">
      <c r="A120" s="23" t="s">
        <v>456</v>
      </c>
      <c r="B120" s="4" t="s">
        <v>205</v>
      </c>
      <c r="C120" s="4" t="s">
        <v>33</v>
      </c>
      <c r="D120" s="4" t="s">
        <v>460</v>
      </c>
      <c r="E120" s="27" t="s">
        <v>513</v>
      </c>
    </row>
    <row r="121" spans="1:5" ht="12.75">
      <c r="A121" s="23" t="s">
        <v>199</v>
      </c>
      <c r="B121" s="4" t="s">
        <v>205</v>
      </c>
      <c r="C121" s="4" t="s">
        <v>45</v>
      </c>
      <c r="D121" s="4" t="s">
        <v>86</v>
      </c>
      <c r="E121" s="27" t="s">
        <v>514</v>
      </c>
    </row>
    <row r="122" spans="1:5" ht="12.75">
      <c r="A122" s="23" t="s">
        <v>461</v>
      </c>
      <c r="B122" s="4" t="s">
        <v>205</v>
      </c>
      <c r="C122" s="4" t="s">
        <v>33</v>
      </c>
      <c r="D122" s="4" t="s">
        <v>71</v>
      </c>
      <c r="E122" s="27" t="s">
        <v>515</v>
      </c>
    </row>
    <row r="123" spans="1:5" ht="12.75">
      <c r="A123" s="23" t="s">
        <v>465</v>
      </c>
      <c r="B123" s="4" t="s">
        <v>205</v>
      </c>
      <c r="C123" s="4" t="s">
        <v>33</v>
      </c>
      <c r="D123" s="4" t="s">
        <v>70</v>
      </c>
      <c r="E123" s="27" t="s">
        <v>516</v>
      </c>
    </row>
    <row r="124" spans="1:5" ht="12.75">
      <c r="A124" s="23" t="s">
        <v>412</v>
      </c>
      <c r="B124" s="4" t="s">
        <v>205</v>
      </c>
      <c r="C124" s="4" t="s">
        <v>62</v>
      </c>
      <c r="D124" s="4" t="s">
        <v>46</v>
      </c>
      <c r="E124" s="27" t="s">
        <v>517</v>
      </c>
    </row>
    <row r="125" spans="1:5" ht="12.75">
      <c r="A125" s="23" t="s">
        <v>396</v>
      </c>
      <c r="B125" s="4" t="s">
        <v>205</v>
      </c>
      <c r="C125" s="4" t="s">
        <v>239</v>
      </c>
      <c r="D125" s="4" t="s">
        <v>117</v>
      </c>
      <c r="E125" s="27" t="s">
        <v>518</v>
      </c>
    </row>
    <row r="126" spans="1:5" ht="12.75">
      <c r="A126" s="23" t="s">
        <v>400</v>
      </c>
      <c r="B126" s="4" t="s">
        <v>205</v>
      </c>
      <c r="C126" s="4" t="s">
        <v>239</v>
      </c>
      <c r="D126" s="4" t="s">
        <v>117</v>
      </c>
      <c r="E126" s="27" t="s">
        <v>519</v>
      </c>
    </row>
    <row r="127" spans="1:5" ht="12.75">
      <c r="A127" s="23" t="s">
        <v>433</v>
      </c>
      <c r="B127" s="4" t="s">
        <v>205</v>
      </c>
      <c r="C127" s="4" t="s">
        <v>37</v>
      </c>
      <c r="D127" s="4" t="s">
        <v>160</v>
      </c>
      <c r="E127" s="27" t="s">
        <v>520</v>
      </c>
    </row>
    <row r="128" spans="1:5" ht="12.75">
      <c r="A128" s="23" t="s">
        <v>437</v>
      </c>
      <c r="B128" s="4" t="s">
        <v>205</v>
      </c>
      <c r="C128" s="4" t="s">
        <v>37</v>
      </c>
      <c r="D128" s="4" t="s">
        <v>47</v>
      </c>
      <c r="E128" s="27" t="s">
        <v>521</v>
      </c>
    </row>
    <row r="129" spans="1:5" ht="12.75">
      <c r="A129" s="23" t="s">
        <v>483</v>
      </c>
      <c r="B129" s="4" t="s">
        <v>205</v>
      </c>
      <c r="C129" s="4" t="s">
        <v>69</v>
      </c>
      <c r="D129" s="4" t="s">
        <v>304</v>
      </c>
      <c r="E129" s="27" t="s">
        <v>522</v>
      </c>
    </row>
    <row r="130" spans="1:5" ht="12.75">
      <c r="A130" s="23" t="s">
        <v>469</v>
      </c>
      <c r="B130" s="4" t="s">
        <v>205</v>
      </c>
      <c r="C130" s="4" t="s">
        <v>33</v>
      </c>
      <c r="D130" s="4" t="s">
        <v>160</v>
      </c>
      <c r="E130" s="27" t="s">
        <v>523</v>
      </c>
    </row>
    <row r="131" spans="1:5" ht="12.75">
      <c r="A131" s="23" t="s">
        <v>442</v>
      </c>
      <c r="B131" s="4" t="s">
        <v>205</v>
      </c>
      <c r="C131" s="4" t="s">
        <v>37</v>
      </c>
      <c r="D131" s="4" t="s">
        <v>179</v>
      </c>
      <c r="E131" s="27" t="s">
        <v>524</v>
      </c>
    </row>
    <row r="132" spans="1:5" ht="12.75">
      <c r="A132" s="23" t="s">
        <v>425</v>
      </c>
      <c r="B132" s="4" t="s">
        <v>205</v>
      </c>
      <c r="C132" s="4" t="s">
        <v>79</v>
      </c>
      <c r="D132" s="4" t="s">
        <v>51</v>
      </c>
      <c r="E132" s="27" t="s">
        <v>525</v>
      </c>
    </row>
    <row r="133" spans="1:5" ht="12.75">
      <c r="A133" s="23" t="s">
        <v>473</v>
      </c>
      <c r="B133" s="4" t="s">
        <v>205</v>
      </c>
      <c r="C133" s="4" t="s">
        <v>33</v>
      </c>
      <c r="D133" s="4" t="s">
        <v>46</v>
      </c>
      <c r="E133" s="27" t="s">
        <v>526</v>
      </c>
    </row>
    <row r="134" spans="1:5" ht="12.75">
      <c r="A134" s="23" t="s">
        <v>416</v>
      </c>
      <c r="B134" s="4" t="s">
        <v>205</v>
      </c>
      <c r="C134" s="4" t="s">
        <v>62</v>
      </c>
      <c r="D134" s="4" t="s">
        <v>420</v>
      </c>
      <c r="E134" s="27" t="s">
        <v>527</v>
      </c>
    </row>
    <row r="135" spans="1:5" ht="12.75">
      <c r="A135" s="23" t="s">
        <v>446</v>
      </c>
      <c r="B135" s="4" t="s">
        <v>205</v>
      </c>
      <c r="C135" s="4" t="s">
        <v>37</v>
      </c>
      <c r="D135" s="4" t="s">
        <v>117</v>
      </c>
      <c r="E135" s="27" t="s">
        <v>528</v>
      </c>
    </row>
    <row r="137" spans="1:2" ht="14.25">
      <c r="A137" s="24"/>
      <c r="B137" s="25" t="s">
        <v>259</v>
      </c>
    </row>
    <row r="138" spans="1:5" ht="15">
      <c r="A138" s="26" t="s">
        <v>206</v>
      </c>
      <c r="B138" s="26" t="s">
        <v>207</v>
      </c>
      <c r="C138" s="26" t="s">
        <v>208</v>
      </c>
      <c r="D138" s="26" t="s">
        <v>209</v>
      </c>
      <c r="E138" s="26" t="s">
        <v>210</v>
      </c>
    </row>
    <row r="139" spans="1:5" ht="12.75">
      <c r="A139" s="23" t="s">
        <v>412</v>
      </c>
      <c r="B139" s="4" t="s">
        <v>497</v>
      </c>
      <c r="C139" s="4" t="s">
        <v>62</v>
      </c>
      <c r="D139" s="4" t="s">
        <v>46</v>
      </c>
      <c r="E139" s="27" t="s">
        <v>529</v>
      </c>
    </row>
    <row r="140" spans="1:5" ht="12.75">
      <c r="A140" s="23" t="s">
        <v>476</v>
      </c>
      <c r="B140" s="4" t="s">
        <v>497</v>
      </c>
      <c r="C140" s="4" t="s">
        <v>33</v>
      </c>
      <c r="D140" s="4" t="s">
        <v>47</v>
      </c>
      <c r="E140" s="27" t="s">
        <v>530</v>
      </c>
    </row>
  </sheetData>
  <sheetProtection/>
  <mergeCells count="25">
    <mergeCell ref="A1:M2"/>
    <mergeCell ref="A3:A4"/>
    <mergeCell ref="B3:B4"/>
    <mergeCell ref="C3:C4"/>
    <mergeCell ref="D3:D4"/>
    <mergeCell ref="E3:E4"/>
    <mergeCell ref="F3:F4"/>
    <mergeCell ref="G3:J3"/>
    <mergeCell ref="A35:L35"/>
    <mergeCell ref="K3:K4"/>
    <mergeCell ref="L3:L4"/>
    <mergeCell ref="M3:M4"/>
    <mergeCell ref="A5:L5"/>
    <mergeCell ref="A8:L8"/>
    <mergeCell ref="A11:L11"/>
    <mergeCell ref="A14:L14"/>
    <mergeCell ref="A18:L18"/>
    <mergeCell ref="A22:L22"/>
    <mergeCell ref="A26:L26"/>
    <mergeCell ref="A29:L29"/>
    <mergeCell ref="A43:L43"/>
    <mergeCell ref="A47:L47"/>
    <mergeCell ref="A54:L54"/>
    <mergeCell ref="A64:L64"/>
    <mergeCell ref="A68:L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2018-12-26T15:20:54Z</dcterms:modified>
  <cp:category/>
  <cp:version/>
  <cp:contentType/>
  <cp:contentStatus/>
</cp:coreProperties>
</file>